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80" windowWidth="13380" windowHeight="3930" activeTab="1"/>
  </bookViews>
  <sheets>
    <sheet name="Recovery Model - 1st Edit" sheetId="1" r:id="rId1"/>
    <sheet name="Recovery - 2nd Edit" sheetId="2" r:id="rId2"/>
  </sheets>
  <definedNames>
    <definedName name="solver_adj" localSheetId="1" hidden="1">'Recovery - 2nd Edit'!$K$33:$K$34</definedName>
    <definedName name="solver_adj" localSheetId="0" hidden="1">'Recovery Model - 1st Edit'!$K$6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0" hidden="1">'Recovery Model - 1st Edit'!$K$7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'Recovery - 2nd Edit'!$L$36</definedName>
    <definedName name="solver_opt" localSheetId="0" hidden="1">'Recovery Model - 1st Edit'!$L$11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0" hidden="1">3</definedName>
    <definedName name="solver_rhs1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67" i="2" l="1"/>
  <c r="C68" i="2"/>
  <c r="C69" i="2"/>
  <c r="C70" i="2"/>
  <c r="C71" i="2"/>
  <c r="C72" i="2"/>
  <c r="C66" i="2"/>
  <c r="C41" i="2"/>
  <c r="C42" i="2"/>
  <c r="C43" i="2"/>
  <c r="C44" i="2"/>
  <c r="C45" i="2"/>
  <c r="C46" i="2"/>
  <c r="C40" i="2"/>
  <c r="C19" i="2"/>
  <c r="C20" i="2"/>
  <c r="C21" i="2"/>
  <c r="C22" i="2"/>
  <c r="C23" i="2"/>
  <c r="C24" i="2"/>
  <c r="C25" i="2"/>
  <c r="C18" i="2"/>
  <c r="X18" i="2"/>
  <c r="AD18" i="2" s="1"/>
  <c r="X19" i="2" l="1"/>
  <c r="X20" i="2"/>
  <c r="X21" i="2"/>
  <c r="X22" i="2"/>
  <c r="X23" i="2"/>
  <c r="X24" i="2"/>
  <c r="X25" i="2"/>
  <c r="K25" i="2"/>
  <c r="K23" i="2"/>
  <c r="K34" i="2"/>
  <c r="K60" i="2" s="1"/>
  <c r="K33" i="2"/>
  <c r="K59" i="2" s="1"/>
  <c r="K18" i="2"/>
  <c r="C58" i="2"/>
  <c r="C32" i="2"/>
  <c r="K22" i="2"/>
  <c r="G34" i="2"/>
  <c r="G33" i="2"/>
  <c r="G12" i="2"/>
  <c r="G11" i="2"/>
  <c r="C10" i="2"/>
  <c r="AD25" i="2" l="1"/>
  <c r="AC25" i="2"/>
  <c r="U22" i="2"/>
  <c r="V22" i="2" s="1"/>
  <c r="U18" i="2"/>
  <c r="V18" i="2" s="1"/>
  <c r="AC18" i="2"/>
  <c r="X67" i="2"/>
  <c r="AD67" i="2" s="1"/>
  <c r="Z22" i="2"/>
  <c r="X46" i="2"/>
  <c r="AD46" i="2" s="1"/>
  <c r="X43" i="2"/>
  <c r="AD43" i="2" s="1"/>
  <c r="X70" i="2"/>
  <c r="AD70" i="2" s="1"/>
  <c r="Z25" i="2"/>
  <c r="Z23" i="2"/>
  <c r="Z18" i="2"/>
  <c r="X42" i="2"/>
  <c r="AD42" i="2" s="1"/>
  <c r="X66" i="2"/>
  <c r="AD66" i="2" s="1"/>
  <c r="X69" i="2"/>
  <c r="AD69" i="2" s="1"/>
  <c r="X45" i="2"/>
  <c r="AD45" i="2" s="1"/>
  <c r="X41" i="2"/>
  <c r="AD41" i="2" s="1"/>
  <c r="X72" i="2"/>
  <c r="AD72" i="2" s="1"/>
  <c r="X68" i="2"/>
  <c r="AD68" i="2" s="1"/>
  <c r="K40" i="2"/>
  <c r="X44" i="2"/>
  <c r="AD44" i="2" s="1"/>
  <c r="X40" i="2"/>
  <c r="AD40" i="2" s="1"/>
  <c r="X71" i="2"/>
  <c r="AD71" i="2" s="1"/>
  <c r="K42" i="2"/>
  <c r="K46" i="2"/>
  <c r="K41" i="2"/>
  <c r="K45" i="2"/>
  <c r="K70" i="2"/>
  <c r="K71" i="2"/>
  <c r="K72" i="2"/>
  <c r="K66" i="2"/>
  <c r="K67" i="2"/>
  <c r="K68" i="2"/>
  <c r="K69" i="2"/>
  <c r="K43" i="2"/>
  <c r="K44" i="2"/>
  <c r="F68" i="2"/>
  <c r="F69" i="2"/>
  <c r="F70" i="2"/>
  <c r="F71" i="2"/>
  <c r="F72" i="2"/>
  <c r="F67" i="2"/>
  <c r="E68" i="2"/>
  <c r="E69" i="2"/>
  <c r="E70" i="2"/>
  <c r="E71" i="2"/>
  <c r="E72" i="2"/>
  <c r="E67" i="2"/>
  <c r="F19" i="2"/>
  <c r="F42" i="2"/>
  <c r="F43" i="2"/>
  <c r="F44" i="2"/>
  <c r="F45" i="2"/>
  <c r="F46" i="2"/>
  <c r="F41" i="2"/>
  <c r="E42" i="2"/>
  <c r="E43" i="2"/>
  <c r="E44" i="2"/>
  <c r="E45" i="2"/>
  <c r="E46" i="2"/>
  <c r="E41" i="2"/>
  <c r="G41" i="2" s="1"/>
  <c r="K19" i="2"/>
  <c r="K20" i="2"/>
  <c r="K21" i="2"/>
  <c r="U23" i="2"/>
  <c r="V23" i="2" s="1"/>
  <c r="K24" i="2"/>
  <c r="U25" i="2"/>
  <c r="V25" i="2" s="1"/>
  <c r="E19" i="2"/>
  <c r="AD19" i="2" s="1"/>
  <c r="E20" i="2"/>
  <c r="AD20" i="2" s="1"/>
  <c r="E21" i="2"/>
  <c r="AD21" i="2" s="1"/>
  <c r="E22" i="2"/>
  <c r="AD22" i="2" s="1"/>
  <c r="E23" i="2"/>
  <c r="AC23" i="2" s="1"/>
  <c r="E24" i="2"/>
  <c r="AD24" i="2" s="1"/>
  <c r="E25" i="2"/>
  <c r="AD23" i="2" l="1"/>
  <c r="AC24" i="2"/>
  <c r="AC22" i="2"/>
  <c r="AC20" i="2"/>
  <c r="U43" i="2"/>
  <c r="V43" i="2" s="1"/>
  <c r="AC43" i="2"/>
  <c r="U66" i="2"/>
  <c r="V66" i="2" s="1"/>
  <c r="AC66" i="2"/>
  <c r="U45" i="2"/>
  <c r="V45" i="2" s="1"/>
  <c r="AC45" i="2"/>
  <c r="U69" i="2"/>
  <c r="V69" i="2" s="1"/>
  <c r="AC69" i="2"/>
  <c r="U72" i="2"/>
  <c r="V72" i="2" s="1"/>
  <c r="AC72" i="2"/>
  <c r="U41" i="2"/>
  <c r="V41" i="2" s="1"/>
  <c r="AC41" i="2"/>
  <c r="U68" i="2"/>
  <c r="V68" i="2" s="1"/>
  <c r="AC68" i="2"/>
  <c r="U71" i="2"/>
  <c r="V71" i="2" s="1"/>
  <c r="AC71" i="2"/>
  <c r="U46" i="2"/>
  <c r="V46" i="2" s="1"/>
  <c r="AC46" i="2"/>
  <c r="U44" i="2"/>
  <c r="V44" i="2" s="1"/>
  <c r="AC44" i="2"/>
  <c r="U67" i="2"/>
  <c r="V67" i="2" s="1"/>
  <c r="AC67" i="2"/>
  <c r="U70" i="2"/>
  <c r="V70" i="2" s="1"/>
  <c r="AC70" i="2"/>
  <c r="U42" i="2"/>
  <c r="V42" i="2" s="1"/>
  <c r="AC42" i="2"/>
  <c r="U40" i="2"/>
  <c r="V40" i="2" s="1"/>
  <c r="AC40" i="2"/>
  <c r="Z46" i="2"/>
  <c r="U21" i="2"/>
  <c r="V21" i="2" s="1"/>
  <c r="AC21" i="2"/>
  <c r="U19" i="2"/>
  <c r="V19" i="2" s="1"/>
  <c r="AC19" i="2"/>
  <c r="Z71" i="2"/>
  <c r="Z68" i="2"/>
  <c r="Z69" i="2"/>
  <c r="Z45" i="2"/>
  <c r="Z70" i="2"/>
  <c r="U24" i="2"/>
  <c r="V24" i="2" s="1"/>
  <c r="Z24" i="2"/>
  <c r="U20" i="2"/>
  <c r="V20" i="2" s="1"/>
  <c r="Z20" i="2"/>
  <c r="Z40" i="2"/>
  <c r="Z72" i="2"/>
  <c r="Z66" i="2"/>
  <c r="Z43" i="2"/>
  <c r="Z67" i="2"/>
  <c r="Z44" i="2"/>
  <c r="Z41" i="2"/>
  <c r="Z42" i="2"/>
  <c r="Z19" i="2"/>
  <c r="Z21" i="2"/>
  <c r="G71" i="2"/>
  <c r="G44" i="2"/>
  <c r="I44" i="2" s="1"/>
  <c r="G72" i="2"/>
  <c r="G19" i="2"/>
  <c r="I19" i="2" s="1"/>
  <c r="G69" i="2"/>
  <c r="I69" i="2" s="1"/>
  <c r="L72" i="2"/>
  <c r="L71" i="2"/>
  <c r="G68" i="2"/>
  <c r="I68" i="2" s="1"/>
  <c r="I41" i="2"/>
  <c r="G67" i="2"/>
  <c r="I67" i="2" s="1"/>
  <c r="G43" i="2"/>
  <c r="I43" i="2" s="1"/>
  <c r="G70" i="2"/>
  <c r="L70" i="2" s="1"/>
  <c r="L69" i="2"/>
  <c r="I72" i="2"/>
  <c r="I71" i="2"/>
  <c r="G46" i="2"/>
  <c r="L46" i="2" s="1"/>
  <c r="L41" i="2"/>
  <c r="G42" i="2"/>
  <c r="I42" i="2" s="1"/>
  <c r="G45" i="2"/>
  <c r="L45" i="2" s="1"/>
  <c r="L42" i="2"/>
  <c r="L44" i="2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L43" i="2" l="1"/>
  <c r="L36" i="2" s="1"/>
  <c r="L68" i="2"/>
  <c r="I46" i="2"/>
  <c r="L67" i="2"/>
  <c r="I70" i="2"/>
  <c r="I45" i="2"/>
  <c r="L19" i="2"/>
  <c r="F20" i="2"/>
  <c r="G20" i="2" s="1"/>
  <c r="F15" i="1"/>
  <c r="E16" i="1"/>
  <c r="E15" i="1"/>
  <c r="L62" i="2" l="1"/>
  <c r="F21" i="2"/>
  <c r="G21" i="2" s="1"/>
  <c r="I21" i="2"/>
  <c r="I20" i="2"/>
  <c r="K15" i="1"/>
  <c r="G15" i="1"/>
  <c r="I15" i="1" s="1"/>
  <c r="E17" i="1"/>
  <c r="L20" i="2" l="1"/>
  <c r="L21" i="2"/>
  <c r="F22" i="2"/>
  <c r="G22" i="2" s="1"/>
  <c r="L15" i="1"/>
  <c r="K18" i="1"/>
  <c r="K17" i="1"/>
  <c r="E19" i="1"/>
  <c r="K16" i="1"/>
  <c r="F16" i="1"/>
  <c r="G16" i="1" s="1"/>
  <c r="I16" i="1" s="1"/>
  <c r="E18" i="1"/>
  <c r="F23" i="2" l="1"/>
  <c r="G23" i="2" s="1"/>
  <c r="I22" i="2"/>
  <c r="F17" i="1"/>
  <c r="G17" i="1" s="1"/>
  <c r="I17" i="1" s="1"/>
  <c r="K19" i="1"/>
  <c r="E20" i="1"/>
  <c r="L16" i="1"/>
  <c r="F18" i="1"/>
  <c r="G18" i="1" s="1"/>
  <c r="I23" i="2" l="1"/>
  <c r="L22" i="2"/>
  <c r="L23" i="2"/>
  <c r="F24" i="2"/>
  <c r="G24" i="2" s="1"/>
  <c r="L17" i="1"/>
  <c r="I18" i="1"/>
  <c r="L18" i="1"/>
  <c r="K20" i="1"/>
  <c r="E21" i="1"/>
  <c r="F19" i="1"/>
  <c r="G19" i="1" s="1"/>
  <c r="I19" i="1" s="1"/>
  <c r="F25" i="2" l="1"/>
  <c r="G25" i="2" s="1"/>
  <c r="I24" i="2"/>
  <c r="L24" i="2"/>
  <c r="K21" i="1"/>
  <c r="L19" i="1"/>
  <c r="F20" i="1"/>
  <c r="G20" i="1" s="1"/>
  <c r="I20" i="1" s="1"/>
  <c r="I25" i="2" l="1"/>
  <c r="K22" i="1"/>
  <c r="E23" i="1"/>
  <c r="L20" i="1"/>
  <c r="E22" i="1"/>
  <c r="F21" i="1"/>
  <c r="G21" i="1" s="1"/>
  <c r="I21" i="1" s="1"/>
  <c r="L25" i="2" l="1"/>
  <c r="L14" i="2" s="1"/>
  <c r="L21" i="1"/>
  <c r="K23" i="1"/>
  <c r="E24" i="1"/>
  <c r="F22" i="1"/>
  <c r="G22" i="1" s="1"/>
  <c r="I22" i="1" l="1"/>
  <c r="L22" i="1"/>
  <c r="K24" i="1"/>
  <c r="E25" i="1"/>
  <c r="F23" i="1"/>
  <c r="G23" i="1" s="1"/>
  <c r="I23" i="1" s="1"/>
  <c r="L23" i="1" l="1"/>
  <c r="K25" i="1"/>
  <c r="E26" i="1"/>
  <c r="F24" i="1"/>
  <c r="G24" i="1" s="1"/>
  <c r="I24" i="1" s="1"/>
  <c r="L24" i="1" l="1"/>
  <c r="K26" i="1"/>
  <c r="E27" i="1"/>
  <c r="F25" i="1"/>
  <c r="G25" i="1" s="1"/>
  <c r="I25" i="1" s="1"/>
  <c r="L25" i="1" l="1"/>
  <c r="K27" i="1"/>
  <c r="E28" i="1"/>
  <c r="F26" i="1"/>
  <c r="G26" i="1" s="1"/>
  <c r="I26" i="1" s="1"/>
  <c r="L26" i="1" l="1"/>
  <c r="K28" i="1"/>
  <c r="E29" i="1"/>
  <c r="F27" i="1"/>
  <c r="G27" i="1" s="1"/>
  <c r="I27" i="1" s="1"/>
  <c r="F28" i="1"/>
  <c r="G28" i="1" s="1"/>
  <c r="I28" i="1" s="1"/>
  <c r="L27" i="1" l="1"/>
  <c r="L28" i="1"/>
  <c r="K29" i="1"/>
  <c r="E30" i="1"/>
  <c r="F29" i="1"/>
  <c r="G29" i="1" s="1"/>
  <c r="I29" i="1" s="1"/>
  <c r="L29" i="1" l="1"/>
  <c r="K30" i="1"/>
  <c r="E31" i="1"/>
  <c r="F30" i="1"/>
  <c r="G30" i="1" s="1"/>
  <c r="I30" i="1" s="1"/>
  <c r="L30" i="1" l="1"/>
  <c r="K31" i="1"/>
  <c r="E32" i="1"/>
  <c r="F31" i="1"/>
  <c r="G31" i="1" s="1"/>
  <c r="I31" i="1" s="1"/>
  <c r="L31" i="1" l="1"/>
  <c r="K32" i="1"/>
  <c r="E33" i="1"/>
  <c r="F32" i="1"/>
  <c r="G32" i="1" s="1"/>
  <c r="I32" i="1" s="1"/>
  <c r="L32" i="1" l="1"/>
  <c r="K33" i="1"/>
  <c r="E34" i="1"/>
  <c r="F33" i="1"/>
  <c r="G33" i="1" s="1"/>
  <c r="I33" i="1" s="1"/>
  <c r="L33" i="1" l="1"/>
  <c r="K35" i="1"/>
  <c r="K34" i="1"/>
  <c r="E35" i="1"/>
  <c r="F34" i="1"/>
  <c r="G34" i="1" s="1"/>
  <c r="I34" i="1" s="1"/>
  <c r="L34" i="1" l="1"/>
  <c r="F35" i="1"/>
  <c r="G35" i="1" s="1"/>
  <c r="I35" i="1" l="1"/>
  <c r="L35" i="1"/>
  <c r="L11" i="1" s="1"/>
</calcChain>
</file>

<file path=xl/sharedStrings.xml><?xml version="1.0" encoding="utf-8"?>
<sst xmlns="http://schemas.openxmlformats.org/spreadsheetml/2006/main" count="186" uniqueCount="56">
  <si>
    <t>t</t>
  </si>
  <si>
    <t>minutes</t>
  </si>
  <si>
    <t>Δσ</t>
  </si>
  <si>
    <t>Δt</t>
  </si>
  <si>
    <t>Initial T</t>
  </si>
  <si>
    <t>ΔT</t>
  </si>
  <si>
    <t>MPa</t>
  </si>
  <si>
    <t>Δσ/Δt</t>
  </si>
  <si>
    <t>K</t>
  </si>
  <si>
    <t>k</t>
  </si>
  <si>
    <t>Sq. Diff</t>
  </si>
  <si>
    <t>J/mol-K</t>
  </si>
  <si>
    <t>KJ/mol</t>
  </si>
  <si>
    <t>MPa/min</t>
  </si>
  <si>
    <t>Initial Yield Stress</t>
  </si>
  <si>
    <t>* Yield stress is not a steady increment, depends on t, T</t>
  </si>
  <si>
    <t>(Hardness test at time intervals; hardness related to yield stress)</t>
  </si>
  <si>
    <t>"y"</t>
  </si>
  <si>
    <t>dσ/dt</t>
  </si>
  <si>
    <r>
      <t>U</t>
    </r>
    <r>
      <rPr>
        <b/>
        <vertAlign val="subscript"/>
        <sz val="11"/>
        <color rgb="FF9C6500"/>
        <rFont val="Calibri"/>
        <family val="2"/>
        <scheme val="minor"/>
      </rPr>
      <t>o</t>
    </r>
  </si>
  <si>
    <t>ν</t>
  </si>
  <si>
    <t>Temp.</t>
  </si>
  <si>
    <r>
      <t>σ</t>
    </r>
    <r>
      <rPr>
        <b/>
        <vertAlign val="subscript"/>
        <sz val="11"/>
        <color rgb="FF9C6500"/>
        <rFont val="Calibri"/>
        <family val="2"/>
        <scheme val="minor"/>
      </rPr>
      <t>i</t>
    </r>
  </si>
  <si>
    <t>Sum</t>
  </si>
  <si>
    <t>Yield Stress Increment</t>
  </si>
  <si>
    <t>Initial Time</t>
  </si>
  <si>
    <t>Time Increment</t>
  </si>
  <si>
    <t>mintues</t>
  </si>
  <si>
    <t>minute</t>
  </si>
  <si>
    <t>These variable cells are for the sake of sensitivity</t>
  </si>
  <si>
    <t>and lack of verication data only</t>
  </si>
  <si>
    <t>seconds</t>
  </si>
  <si>
    <t>MPa/sec</t>
  </si>
  <si>
    <r>
      <t>b</t>
    </r>
    <r>
      <rPr>
        <vertAlign val="superscript"/>
        <sz val="11"/>
        <color rgb="FF9C6500"/>
        <rFont val="Calibri"/>
        <family val="2"/>
        <scheme val="minor"/>
      </rPr>
      <t>3</t>
    </r>
  </si>
  <si>
    <t>T (°C)</t>
  </si>
  <si>
    <t>ε = 0.58</t>
  </si>
  <si>
    <t>USING 5754 DATA</t>
  </si>
  <si>
    <t>Data taken from:</t>
  </si>
  <si>
    <t>http://dx.doi.org/10.1179/026708303225005980</t>
  </si>
  <si>
    <t>/mol</t>
  </si>
  <si>
    <r>
      <t>N</t>
    </r>
    <r>
      <rPr>
        <b/>
        <vertAlign val="subscript"/>
        <sz val="11"/>
        <color rgb="FF9C6500"/>
        <rFont val="Calibri"/>
        <family val="2"/>
        <scheme val="minor"/>
      </rPr>
      <t>A</t>
    </r>
  </si>
  <si>
    <t>J/mol</t>
  </si>
  <si>
    <r>
      <rPr>
        <sz val="11"/>
        <color rgb="FF9C6500"/>
        <rFont val="Calibri"/>
        <family val="2"/>
        <scheme val="minor"/>
      </rPr>
      <t>m</t>
    </r>
    <r>
      <rPr>
        <vertAlign val="superscript"/>
        <sz val="11"/>
        <color rgb="FF9C6500"/>
        <rFont val="Calibri"/>
        <family val="2"/>
        <scheme val="minor"/>
      </rPr>
      <t>3</t>
    </r>
  </si>
  <si>
    <t>J/K</t>
  </si>
  <si>
    <t>J</t>
  </si>
  <si>
    <r>
      <rPr>
        <sz val="11"/>
        <color rgb="FF9C6500"/>
        <rFont val="Calibri"/>
        <family val="2"/>
        <scheme val="minor"/>
      </rPr>
      <t>b</t>
    </r>
    <r>
      <rPr>
        <vertAlign val="superscript"/>
        <sz val="11"/>
        <color rgb="FF9C6500"/>
        <rFont val="Calibri"/>
        <family val="2"/>
        <scheme val="minor"/>
      </rPr>
      <t>3</t>
    </r>
  </si>
  <si>
    <t>TUNING PARAMETERS</t>
  </si>
  <si>
    <t>Using tuned parameters</t>
  </si>
  <si>
    <t>M</t>
  </si>
  <si>
    <t>α</t>
  </si>
  <si>
    <t>E</t>
  </si>
  <si>
    <r>
      <t>v</t>
    </r>
    <r>
      <rPr>
        <b/>
        <vertAlign val="subscript"/>
        <sz val="11"/>
        <color rgb="FF9C6500"/>
        <rFont val="Calibri"/>
        <family val="2"/>
        <scheme val="minor"/>
      </rPr>
      <t>D</t>
    </r>
  </si>
  <si>
    <t>Diff for dσ/dt for (2) vs. (3)</t>
  </si>
  <si>
    <t>Pa</t>
  </si>
  <si>
    <t>Equ. 2</t>
  </si>
  <si>
    <t>Equ.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</si>
</sst>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vertAlign val="subscript"/>
      <sz val="11"/>
      <color rgb="FF9C6500"/>
      <name val="Calibri"/>
      <family val="2"/>
      <scheme val="minor"/>
    </font>
    <font>
      <b/>
      <sz val="11"/>
      <color rgb="FF9C6500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1" applyNumberFormat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5" borderId="6" xfId="4" applyBorder="1" applyAlignment="1">
      <alignment horizontal="center" vertical="center"/>
    </xf>
    <xf numFmtId="0" fontId="4" fillId="4" borderId="7" xfId="3" applyBorder="1" applyAlignment="1">
      <alignment horizontal="center" vertical="center"/>
    </xf>
    <xf numFmtId="0" fontId="5" fillId="5" borderId="9" xfId="4" applyBorder="1" applyAlignment="1">
      <alignment horizontal="center" vertical="center"/>
    </xf>
    <xf numFmtId="0" fontId="4" fillId="4" borderId="10" xfId="3" applyBorder="1" applyAlignment="1">
      <alignment horizontal="center" vertical="center"/>
    </xf>
    <xf numFmtId="0" fontId="5" fillId="5" borderId="12" xfId="4" applyBorder="1" applyAlignment="1">
      <alignment horizontal="center" vertical="center"/>
    </xf>
    <xf numFmtId="0" fontId="4" fillId="4" borderId="13" xfId="3" applyBorder="1" applyAlignment="1">
      <alignment horizontal="center" vertical="center"/>
    </xf>
    <xf numFmtId="0" fontId="7" fillId="4" borderId="8" xfId="3" applyFont="1" applyBorder="1" applyAlignment="1">
      <alignment horizontal="center" vertical="center"/>
    </xf>
    <xf numFmtId="0" fontId="7" fillId="4" borderId="11" xfId="3" applyFont="1" applyBorder="1" applyAlignment="1">
      <alignment horizontal="center" vertical="center"/>
    </xf>
    <xf numFmtId="0" fontId="7" fillId="4" borderId="4" xfId="3" applyFont="1" applyBorder="1" applyAlignment="1">
      <alignment horizontal="center" vertical="center"/>
    </xf>
    <xf numFmtId="0" fontId="4" fillId="4" borderId="18" xfId="3" applyBorder="1" applyAlignment="1">
      <alignment horizontal="center" vertical="center"/>
    </xf>
    <xf numFmtId="0" fontId="4" fillId="4" borderId="19" xfId="3" applyBorder="1" applyAlignment="1">
      <alignment horizontal="center" vertical="center"/>
    </xf>
    <xf numFmtId="0" fontId="4" fillId="4" borderId="20" xfId="3" applyBorder="1" applyAlignment="1">
      <alignment horizontal="center" vertical="center"/>
    </xf>
    <xf numFmtId="0" fontId="7" fillId="4" borderId="18" xfId="3" applyFont="1" applyBorder="1" applyAlignment="1">
      <alignment horizontal="center" vertical="center"/>
    </xf>
    <xf numFmtId="0" fontId="7" fillId="4" borderId="19" xfId="3" applyFont="1" applyBorder="1" applyAlignment="1">
      <alignment horizontal="center" vertical="center"/>
    </xf>
    <xf numFmtId="0" fontId="9" fillId="4" borderId="20" xfId="3" applyFont="1" applyBorder="1" applyAlignment="1">
      <alignment horizontal="center" vertical="center"/>
    </xf>
    <xf numFmtId="0" fontId="2" fillId="7" borderId="14" xfId="6" applyBorder="1" applyAlignment="1">
      <alignment horizontal="center" vertical="center"/>
    </xf>
    <xf numFmtId="0" fontId="2" fillId="7" borderId="0" xfId="6" applyBorder="1" applyAlignment="1">
      <alignment horizontal="center" vertical="center"/>
    </xf>
    <xf numFmtId="0" fontId="2" fillId="7" borderId="17" xfId="6" applyBorder="1" applyAlignment="1">
      <alignment horizontal="center" vertical="center"/>
    </xf>
    <xf numFmtId="0" fontId="6" fillId="6" borderId="3" xfId="5" applyBorder="1" applyAlignment="1">
      <alignment horizontal="center" vertical="center"/>
    </xf>
    <xf numFmtId="0" fontId="7" fillId="4" borderId="14" xfId="3" applyFont="1" applyBorder="1" applyAlignment="1">
      <alignment horizontal="center" vertical="center"/>
    </xf>
    <xf numFmtId="0" fontId="7" fillId="4" borderId="10" xfId="3" applyFont="1" applyBorder="1" applyAlignment="1">
      <alignment horizontal="center" vertical="center"/>
    </xf>
    <xf numFmtId="0" fontId="7" fillId="4" borderId="15" xfId="3" applyFont="1" applyBorder="1" applyAlignment="1">
      <alignment horizontal="center" vertical="center"/>
    </xf>
    <xf numFmtId="0" fontId="7" fillId="4" borderId="0" xfId="3" applyFont="1" applyBorder="1" applyAlignment="1">
      <alignment horizontal="center" vertical="center"/>
    </xf>
    <xf numFmtId="0" fontId="7" fillId="4" borderId="16" xfId="3" applyFont="1" applyBorder="1" applyAlignment="1">
      <alignment horizontal="center" vertical="center"/>
    </xf>
    <xf numFmtId="0" fontId="1" fillId="2" borderId="21" xfId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2" borderId="22" xfId="1" applyBorder="1" applyAlignment="1">
      <alignment horizontal="center" vertical="center"/>
    </xf>
    <xf numFmtId="0" fontId="1" fillId="2" borderId="23" xfId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25" xfId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2" borderId="27" xfId="1" applyBorder="1" applyAlignment="1">
      <alignment horizontal="center" vertical="center"/>
    </xf>
    <xf numFmtId="0" fontId="1" fillId="2" borderId="28" xfId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2" borderId="24" xfId="1" applyBorder="1" applyAlignment="1">
      <alignment horizontal="center" vertical="center"/>
    </xf>
    <xf numFmtId="0" fontId="1" fillId="2" borderId="26" xfId="1" applyBorder="1" applyAlignment="1">
      <alignment horizontal="center" vertical="center"/>
    </xf>
    <xf numFmtId="0" fontId="1" fillId="2" borderId="29" xfId="1" applyBorder="1" applyAlignment="1">
      <alignment horizontal="center" vertical="center"/>
    </xf>
    <xf numFmtId="164" fontId="3" fillId="3" borderId="22" xfId="2" applyNumberFormat="1" applyBorder="1" applyAlignment="1">
      <alignment horizontal="center" vertical="center"/>
    </xf>
    <xf numFmtId="164" fontId="3" fillId="3" borderId="25" xfId="2" applyNumberFormat="1" applyBorder="1" applyAlignment="1">
      <alignment horizontal="center" vertical="center"/>
    </xf>
    <xf numFmtId="164" fontId="3" fillId="3" borderId="27" xfId="2" applyNumberFormat="1" applyBorder="1" applyAlignment="1">
      <alignment horizontal="center" vertical="center"/>
    </xf>
    <xf numFmtId="0" fontId="7" fillId="4" borderId="3" xfId="3" applyFont="1" applyBorder="1" applyAlignment="1">
      <alignment horizontal="center" vertical="center"/>
    </xf>
    <xf numFmtId="164" fontId="2" fillId="8" borderId="7" xfId="7" applyNumberFormat="1" applyBorder="1" applyAlignment="1">
      <alignment horizontal="center" vertical="center"/>
    </xf>
    <xf numFmtId="164" fontId="2" fillId="8" borderId="24" xfId="7" applyNumberFormat="1" applyBorder="1" applyAlignment="1">
      <alignment horizontal="center" vertical="center"/>
    </xf>
    <xf numFmtId="164" fontId="2" fillId="8" borderId="26" xfId="7" applyNumberFormat="1" applyBorder="1" applyAlignment="1">
      <alignment horizontal="center" vertical="center"/>
    </xf>
    <xf numFmtId="164" fontId="2" fillId="8" borderId="29" xfId="7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5" fillId="5" borderId="2" xfId="4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4" borderId="4" xfId="3" applyFont="1" applyBorder="1" applyAlignment="1">
      <alignment horizontal="center" vertical="center"/>
    </xf>
    <xf numFmtId="0" fontId="7" fillId="4" borderId="8" xfId="3" applyFont="1" applyBorder="1" applyAlignment="1">
      <alignment horizontal="center" vertical="center"/>
    </xf>
    <xf numFmtId="0" fontId="7" fillId="4" borderId="14" xfId="3" applyFont="1" applyBorder="1" applyAlignment="1">
      <alignment horizontal="center" vertical="center"/>
    </xf>
    <xf numFmtId="0" fontId="7" fillId="4" borderId="17" xfId="3" applyFont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7" fillId="4" borderId="13" xfId="3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1" fontId="1" fillId="0" borderId="0" xfId="1" applyNumberFormat="1" applyFill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1" fillId="2" borderId="27" xfId="1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" fillId="2" borderId="26" xfId="1" applyNumberFormat="1" applyBorder="1" applyAlignment="1">
      <alignment horizontal="center" vertical="center"/>
    </xf>
    <xf numFmtId="164" fontId="1" fillId="2" borderId="29" xfId="1" applyNumberFormat="1" applyBorder="1" applyAlignment="1">
      <alignment horizontal="center" vertical="center"/>
    </xf>
    <xf numFmtId="1" fontId="1" fillId="2" borderId="24" xfId="1" applyNumberFormat="1" applyBorder="1" applyAlignment="1">
      <alignment horizontal="center" vertical="center"/>
    </xf>
    <xf numFmtId="165" fontId="1" fillId="2" borderId="26" xfId="1" applyNumberFormat="1" applyBorder="1" applyAlignment="1">
      <alignment horizontal="center" vertical="center"/>
    </xf>
    <xf numFmtId="11" fontId="2" fillId="7" borderId="0" xfId="6" applyNumberForma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4" fillId="0" borderId="0" xfId="3" applyFill="1" applyBorder="1" applyAlignment="1">
      <alignment horizontal="center" vertical="center"/>
    </xf>
    <xf numFmtId="0" fontId="4" fillId="4" borderId="3" xfId="3" applyBorder="1" applyAlignment="1">
      <alignment horizontal="center" vertical="center"/>
    </xf>
    <xf numFmtId="0" fontId="14" fillId="4" borderId="20" xfId="3" applyFont="1" applyBorder="1" applyAlignment="1">
      <alignment horizontal="center" vertical="center"/>
    </xf>
    <xf numFmtId="11" fontId="0" fillId="0" borderId="31" xfId="0" applyNumberFormat="1" applyBorder="1" applyAlignment="1">
      <alignment horizontal="center" vertical="center"/>
    </xf>
    <xf numFmtId="11" fontId="0" fillId="0" borderId="32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8" applyFill="1" applyAlignment="1">
      <alignment horizontal="center" vertical="center"/>
    </xf>
    <xf numFmtId="11" fontId="2" fillId="7" borderId="17" xfId="6" applyNumberFormat="1" applyBorder="1" applyAlignment="1">
      <alignment horizontal="center" vertical="center"/>
    </xf>
    <xf numFmtId="11" fontId="6" fillId="6" borderId="5" xfId="5" applyNumberFormat="1" applyBorder="1" applyAlignment="1">
      <alignment horizontal="center" vertical="center"/>
    </xf>
    <xf numFmtId="11" fontId="2" fillId="11" borderId="14" xfId="6" applyNumberFormat="1" applyFill="1" applyBorder="1" applyAlignment="1">
      <alignment horizontal="center" vertical="center"/>
    </xf>
    <xf numFmtId="11" fontId="0" fillId="11" borderId="17" xfId="6" applyNumberFormat="1" applyFont="1" applyFill="1" applyBorder="1" applyAlignment="1">
      <alignment horizontal="center" vertical="center"/>
    </xf>
    <xf numFmtId="2" fontId="3" fillId="11" borderId="22" xfId="2" applyNumberFormat="1" applyFill="1" applyBorder="1" applyAlignment="1">
      <alignment horizontal="center" vertical="center"/>
    </xf>
    <xf numFmtId="2" fontId="3" fillId="11" borderId="25" xfId="2" applyNumberFormat="1" applyFill="1" applyBorder="1" applyAlignment="1">
      <alignment horizontal="center" vertical="center"/>
    </xf>
    <xf numFmtId="2" fontId="3" fillId="11" borderId="27" xfId="2" applyNumberForma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1" fontId="0" fillId="0" borderId="30" xfId="0" applyNumberForma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17" fillId="9" borderId="39" xfId="9" applyNumberFormat="1" applyBorder="1" applyAlignment="1">
      <alignment horizontal="center" vertical="center"/>
    </xf>
    <xf numFmtId="2" fontId="17" fillId="9" borderId="40" xfId="9" applyNumberFormat="1" applyBorder="1" applyAlignment="1">
      <alignment horizontal="center" vertical="center"/>
    </xf>
    <xf numFmtId="0" fontId="7" fillId="4" borderId="20" xfId="3" applyFont="1" applyBorder="1" applyAlignment="1">
      <alignment horizontal="center" vertical="center"/>
    </xf>
    <xf numFmtId="1" fontId="3" fillId="11" borderId="22" xfId="2" applyNumberFormat="1" applyFill="1" applyBorder="1" applyAlignment="1">
      <alignment horizontal="center" vertical="center"/>
    </xf>
    <xf numFmtId="164" fontId="3" fillId="11" borderId="25" xfId="2" applyNumberFormat="1" applyFill="1" applyBorder="1" applyAlignment="1">
      <alignment horizontal="center" vertical="center"/>
    </xf>
    <xf numFmtId="164" fontId="3" fillId="11" borderId="27" xfId="2" applyNumberForma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1" fontId="0" fillId="0" borderId="41" xfId="0" applyNumberFormat="1" applyBorder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2" fontId="17" fillId="0" borderId="0" xfId="9" applyNumberFormat="1" applyFill="1" applyBorder="1" applyAlignment="1">
      <alignment horizontal="center" vertical="center"/>
    </xf>
    <xf numFmtId="0" fontId="6" fillId="10" borderId="0" xfId="10" applyBorder="1" applyAlignment="1">
      <alignment horizontal="center" vertical="center"/>
    </xf>
    <xf numFmtId="2" fontId="6" fillId="10" borderId="30" xfId="10" applyNumberFormat="1" applyBorder="1" applyAlignment="1">
      <alignment horizontal="center" vertical="center"/>
    </xf>
    <xf numFmtId="2" fontId="6" fillId="10" borderId="31" xfId="10" applyNumberFormat="1" applyBorder="1" applyAlignment="1">
      <alignment horizontal="center" vertical="center"/>
    </xf>
    <xf numFmtId="2" fontId="6" fillId="10" borderId="32" xfId="10" applyNumberFormat="1" applyBorder="1" applyAlignment="1">
      <alignment horizontal="center" vertical="center"/>
    </xf>
    <xf numFmtId="2" fontId="6" fillId="0" borderId="0" xfId="10" applyNumberFormat="1" applyFill="1" applyBorder="1" applyAlignment="1">
      <alignment horizontal="center" vertical="center"/>
    </xf>
    <xf numFmtId="0" fontId="6" fillId="0" borderId="0" xfId="10" applyFill="1" applyBorder="1" applyAlignment="1">
      <alignment horizontal="center" vertical="center"/>
    </xf>
    <xf numFmtId="0" fontId="7" fillId="4" borderId="4" xfId="3" applyFont="1" applyBorder="1" applyAlignment="1">
      <alignment horizontal="center" vertical="center"/>
    </xf>
    <xf numFmtId="0" fontId="7" fillId="4" borderId="5" xfId="3" applyFont="1" applyBorder="1" applyAlignment="1">
      <alignment horizontal="center" vertical="center"/>
    </xf>
    <xf numFmtId="0" fontId="7" fillId="4" borderId="8" xfId="3" applyFont="1" applyBorder="1" applyAlignment="1">
      <alignment horizontal="center" vertical="center"/>
    </xf>
    <xf numFmtId="0" fontId="7" fillId="4" borderId="14" xfId="3" applyFont="1" applyBorder="1" applyAlignment="1">
      <alignment horizontal="center" vertical="center"/>
    </xf>
    <xf numFmtId="0" fontId="7" fillId="4" borderId="11" xfId="3" applyFont="1" applyBorder="1" applyAlignment="1">
      <alignment horizontal="center" vertical="center"/>
    </xf>
    <xf numFmtId="0" fontId="7" fillId="4" borderId="17" xfId="3" applyFont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11" fontId="6" fillId="10" borderId="17" xfId="10" applyNumberFormat="1" applyBorder="1" applyAlignment="1">
      <alignment horizontal="center" vertical="center"/>
    </xf>
    <xf numFmtId="11" fontId="6" fillId="10" borderId="14" xfId="10" applyNumberForma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12" borderId="25" xfId="11" applyBorder="1" applyAlignment="1">
      <alignment horizontal="center" vertical="center"/>
    </xf>
    <xf numFmtId="2" fontId="6" fillId="12" borderId="25" xfId="11" applyNumberFormat="1" applyBorder="1" applyAlignment="1">
      <alignment horizontal="center" vertical="center"/>
    </xf>
    <xf numFmtId="2" fontId="6" fillId="12" borderId="27" xfId="11" applyNumberFormat="1" applyBorder="1" applyAlignment="1">
      <alignment horizontal="center" vertical="center"/>
    </xf>
    <xf numFmtId="0" fontId="6" fillId="13" borderId="26" xfId="12" applyBorder="1" applyAlignment="1">
      <alignment horizontal="center" vertical="center"/>
    </xf>
    <xf numFmtId="2" fontId="6" fillId="13" borderId="26" xfId="12" applyNumberFormat="1" applyBorder="1" applyAlignment="1">
      <alignment horizontal="center" vertical="center"/>
    </xf>
    <xf numFmtId="2" fontId="6" fillId="13" borderId="29" xfId="12" applyNumberFormat="1" applyBorder="1" applyAlignment="1">
      <alignment horizontal="center" vertical="center"/>
    </xf>
    <xf numFmtId="2" fontId="6" fillId="0" borderId="0" xfId="11" applyNumberFormat="1" applyFill="1" applyBorder="1" applyAlignment="1">
      <alignment horizontal="center" vertical="center"/>
    </xf>
    <xf numFmtId="2" fontId="6" fillId="0" borderId="0" xfId="12" applyNumberFormat="1" applyFill="1" applyBorder="1" applyAlignment="1">
      <alignment horizontal="center" vertical="center"/>
    </xf>
  </cellXfs>
  <cellStyles count="13">
    <cellStyle name="40% - Accent1" xfId="6" builtinId="31"/>
    <cellStyle name="40% - Accent4" xfId="7" builtinId="43"/>
    <cellStyle name="Accent1" xfId="5" builtinId="29"/>
    <cellStyle name="Accent2" xfId="11" builtinId="33"/>
    <cellStyle name="Accent3" xfId="12" builtinId="37"/>
    <cellStyle name="Accent5" xfId="10" builtinId="45"/>
    <cellStyle name="Calculation" xfId="9" builtinId="22"/>
    <cellStyle name="Check Cell" xfId="4" builtinId="23"/>
    <cellStyle name="Good" xfId="2" builtinId="26"/>
    <cellStyle name="Hyperlink" xfId="8" builtinId="8"/>
    <cellStyle name="Input" xfId="1" builtinId="20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7646259842519686"/>
                  <c:y val="-0.43863735783027119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Model - 1st Edit'!$B$15:$B$35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xVal>
          <c:yVal>
            <c:numRef>
              <c:f>'Recovery Model - 1st Edit'!$D$15:$D$35</c:f>
              <c:numCache>
                <c:formatCode>General</c:formatCode>
                <c:ptCount val="21"/>
                <c:pt idx="0">
                  <c:v>200</c:v>
                </c:pt>
                <c:pt idx="1">
                  <c:v>199</c:v>
                </c:pt>
                <c:pt idx="2">
                  <c:v>198</c:v>
                </c:pt>
                <c:pt idx="3">
                  <c:v>197</c:v>
                </c:pt>
                <c:pt idx="4">
                  <c:v>196</c:v>
                </c:pt>
                <c:pt idx="5">
                  <c:v>195</c:v>
                </c:pt>
                <c:pt idx="6">
                  <c:v>194</c:v>
                </c:pt>
                <c:pt idx="7">
                  <c:v>193</c:v>
                </c:pt>
                <c:pt idx="8">
                  <c:v>192</c:v>
                </c:pt>
                <c:pt idx="9">
                  <c:v>191</c:v>
                </c:pt>
                <c:pt idx="10">
                  <c:v>190</c:v>
                </c:pt>
                <c:pt idx="11">
                  <c:v>189</c:v>
                </c:pt>
                <c:pt idx="12">
                  <c:v>188</c:v>
                </c:pt>
                <c:pt idx="13">
                  <c:v>187</c:v>
                </c:pt>
                <c:pt idx="14">
                  <c:v>186</c:v>
                </c:pt>
                <c:pt idx="15">
                  <c:v>185</c:v>
                </c:pt>
                <c:pt idx="16">
                  <c:v>184</c:v>
                </c:pt>
                <c:pt idx="17">
                  <c:v>183</c:v>
                </c:pt>
                <c:pt idx="18">
                  <c:v>182</c:v>
                </c:pt>
                <c:pt idx="19">
                  <c:v>181</c:v>
                </c:pt>
                <c:pt idx="20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420736"/>
        <c:axId val="132422656"/>
      </c:scatterChart>
      <c:valAx>
        <c:axId val="132420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Minutes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422656"/>
        <c:crosses val="autoZero"/>
        <c:crossBetween val="midCat"/>
      </c:valAx>
      <c:valAx>
        <c:axId val="132422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4207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Stress Data Fit @ 200C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Exp. Data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Edit'!$D$18:$D$25</c:f>
              <c:numCache>
                <c:formatCode>General</c:formatCode>
                <c:ptCount val="8"/>
                <c:pt idx="0">
                  <c:v>258</c:v>
                </c:pt>
                <c:pt idx="1">
                  <c:v>226.1842</c:v>
                </c:pt>
                <c:pt idx="2">
                  <c:v>217.9915</c:v>
                </c:pt>
                <c:pt idx="3">
                  <c:v>210.12010000000001</c:v>
                </c:pt>
                <c:pt idx="4">
                  <c:v>202.73060000000001</c:v>
                </c:pt>
                <c:pt idx="5">
                  <c:v>197.75069999999999</c:v>
                </c:pt>
                <c:pt idx="6">
                  <c:v>194.6985</c:v>
                </c:pt>
                <c:pt idx="7">
                  <c:v>190.84309999999999</c:v>
                </c:pt>
              </c:numCache>
            </c:numRef>
          </c:yVal>
          <c:smooth val="1"/>
        </c:ser>
        <c:ser>
          <c:idx val="1"/>
          <c:order val="1"/>
          <c:tx>
            <c:v>Equ. (2)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Edit'!$AC$18:$AC$25</c:f>
              <c:numCache>
                <c:formatCode>0.00</c:formatCode>
                <c:ptCount val="8"/>
                <c:pt idx="0" formatCode="General">
                  <c:v>258</c:v>
                </c:pt>
                <c:pt idx="1">
                  <c:v>241.51126548411298</c:v>
                </c:pt>
                <c:pt idx="2">
                  <c:v>221.93823319802371</c:v>
                </c:pt>
                <c:pt idx="3">
                  <c:v>213.91200514044576</c:v>
                </c:pt>
                <c:pt idx="4">
                  <c:v>206.29031821732298</c:v>
                </c:pt>
                <c:pt idx="5">
                  <c:v>200.14963166938801</c:v>
                </c:pt>
                <c:pt idx="6">
                  <c:v>196.16880764068566</c:v>
                </c:pt>
                <c:pt idx="7">
                  <c:v>192.70031466878987</c:v>
                </c:pt>
              </c:numCache>
            </c:numRef>
          </c:yVal>
          <c:smooth val="1"/>
        </c:ser>
        <c:ser>
          <c:idx val="2"/>
          <c:order val="2"/>
          <c:tx>
            <c:v>Equ. (3)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Edit'!$AD$18:$AD$25</c:f>
              <c:numCache>
                <c:formatCode>0.00</c:formatCode>
                <c:ptCount val="8"/>
                <c:pt idx="0" formatCode="General">
                  <c:v>258</c:v>
                </c:pt>
                <c:pt idx="1">
                  <c:v>226.20209765709029</c:v>
                </c:pt>
                <c:pt idx="2">
                  <c:v>217.99562583897321</c:v>
                </c:pt>
                <c:pt idx="3">
                  <c:v>210.12364994252218</c:v>
                </c:pt>
                <c:pt idx="4">
                  <c:v>202.73359322602826</c:v>
                </c:pt>
                <c:pt idx="5">
                  <c:v>197.7525721526321</c:v>
                </c:pt>
                <c:pt idx="6">
                  <c:v>194.69959513421409</c:v>
                </c:pt>
                <c:pt idx="7">
                  <c:v>190.84440276287216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28608"/>
        <c:axId val="139826688"/>
      </c:scatterChart>
      <c:valAx>
        <c:axId val="13982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826688"/>
        <c:crosses val="autoZero"/>
        <c:crossBetween val="midCat"/>
      </c:valAx>
      <c:valAx>
        <c:axId val="139826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828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Stress Data Fit @ 225C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Exp. Data</c:v>
          </c:tx>
          <c:xVal>
            <c:numRef>
              <c:f>'Recovery - 2nd Edit'!$B$40:$B$46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39.885863624040397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 formatCode="0.000">
                  <c:v>2555.5242121151618</c:v>
                </c:pt>
              </c:numCache>
            </c:numRef>
          </c:xVal>
          <c:yVal>
            <c:numRef>
              <c:f>'Recovery - 2nd Edit'!$D$40:$D$46</c:f>
              <c:numCache>
                <c:formatCode>General</c:formatCode>
                <c:ptCount val="7"/>
                <c:pt idx="0">
                  <c:v>258</c:v>
                </c:pt>
                <c:pt idx="1">
                  <c:v>213.17230000000001</c:v>
                </c:pt>
                <c:pt idx="2">
                  <c:v>209.3169</c:v>
                </c:pt>
                <c:pt idx="3">
                  <c:v>203.85509999999999</c:v>
                </c:pt>
                <c:pt idx="4">
                  <c:v>195.82300000000001</c:v>
                </c:pt>
                <c:pt idx="5" formatCode="0.000">
                  <c:v>190.84309999999999</c:v>
                </c:pt>
                <c:pt idx="6" formatCode="0.000">
                  <c:v>185.70259999999999</c:v>
                </c:pt>
              </c:numCache>
            </c:numRef>
          </c:yVal>
          <c:smooth val="1"/>
        </c:ser>
        <c:ser>
          <c:idx val="1"/>
          <c:order val="1"/>
          <c:tx>
            <c:v>Equ. (2)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Edit'!$AC$40:$AC$46</c:f>
              <c:numCache>
                <c:formatCode>0.00</c:formatCode>
                <c:ptCount val="7"/>
                <c:pt idx="0" formatCode="General">
                  <c:v>258</c:v>
                </c:pt>
                <c:pt idx="1">
                  <c:v>242.02759374891139</c:v>
                </c:pt>
                <c:pt idx="2">
                  <c:v>211.79858154315374</c:v>
                </c:pt>
                <c:pt idx="3">
                  <c:v>207.37077686368625</c:v>
                </c:pt>
                <c:pt idx="4">
                  <c:v>200.99307914236923</c:v>
                </c:pt>
                <c:pt idx="5">
                  <c:v>194.0485245644978</c:v>
                </c:pt>
                <c:pt idx="6">
                  <c:v>189.01137362636109</c:v>
                </c:pt>
              </c:numCache>
            </c:numRef>
          </c:yVal>
          <c:smooth val="1"/>
        </c:ser>
        <c:ser>
          <c:idx val="2"/>
          <c:order val="2"/>
          <c:tx>
            <c:v>Equ. (3)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Edit'!$AD$40:$AD$46</c:f>
              <c:numCache>
                <c:formatCode>0.00</c:formatCode>
                <c:ptCount val="7"/>
                <c:pt idx="0" formatCode="General">
                  <c:v>258</c:v>
                </c:pt>
                <c:pt idx="1">
                  <c:v>213.19956948118752</c:v>
                </c:pt>
                <c:pt idx="2">
                  <c:v>209.3191203448477</c:v>
                </c:pt>
                <c:pt idx="3">
                  <c:v>203.85800561883244</c:v>
                </c:pt>
                <c:pt idx="4">
                  <c:v>195.82678754944718</c:v>
                </c:pt>
                <c:pt idx="5">
                  <c:v>190.8452736424897</c:v>
                </c:pt>
                <c:pt idx="6">
                  <c:v>185.70466727104559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95232"/>
        <c:axId val="92097152"/>
      </c:scatterChart>
      <c:valAx>
        <c:axId val="9209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097152"/>
        <c:crosses val="autoZero"/>
        <c:crossBetween val="midCat"/>
      </c:valAx>
      <c:valAx>
        <c:axId val="92097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0952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Stress Data Fit @ 250C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Exp. Data</c:v>
          </c:tx>
          <c:xVal>
            <c:numRef>
              <c:f>'Recovery - 2nd Edit'!$B$66:$B$72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>
                  <c:v>2555.5242121151618</c:v>
                </c:pt>
              </c:numCache>
            </c:numRef>
          </c:xVal>
          <c:yVal>
            <c:numRef>
              <c:f>'Recovery - 2nd Edit'!$D$66:$D$72</c:f>
              <c:numCache>
                <c:formatCode>0.0000</c:formatCode>
                <c:ptCount val="7"/>
                <c:pt idx="0" formatCode="0">
                  <c:v>258</c:v>
                </c:pt>
                <c:pt idx="1">
                  <c:v>206.90729999999999</c:v>
                </c:pt>
                <c:pt idx="2">
                  <c:v>200.96350000000001</c:v>
                </c:pt>
                <c:pt idx="3">
                  <c:v>196.62619999999998</c:v>
                </c:pt>
                <c:pt idx="4" formatCode="General">
                  <c:v>189.71860000000001</c:v>
                </c:pt>
                <c:pt idx="5" formatCode="General">
                  <c:v>188.75479999999999</c:v>
                </c:pt>
                <c:pt idx="6" formatCode="General">
                  <c:v>182.65039999999999</c:v>
                </c:pt>
              </c:numCache>
            </c:numRef>
          </c:yVal>
          <c:smooth val="1"/>
        </c:ser>
        <c:ser>
          <c:idx val="1"/>
          <c:order val="1"/>
          <c:tx>
            <c:v>Equ. (2)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Edit'!$AC$66:$AC$72</c:f>
              <c:numCache>
                <c:formatCode>0.00</c:formatCode>
                <c:ptCount val="7"/>
                <c:pt idx="0" formatCode="General">
                  <c:v>258</c:v>
                </c:pt>
                <c:pt idx="1">
                  <c:v>249.20006496934536</c:v>
                </c:pt>
                <c:pt idx="2">
                  <c:v>205.88353098680631</c:v>
                </c:pt>
                <c:pt idx="3">
                  <c:v>200.21641538729293</c:v>
                </c:pt>
                <c:pt idx="4">
                  <c:v>195.4363355887958</c:v>
                </c:pt>
                <c:pt idx="5">
                  <c:v>189.55258015591127</c:v>
                </c:pt>
                <c:pt idx="6">
                  <c:v>187.70324085245329</c:v>
                </c:pt>
              </c:numCache>
            </c:numRef>
          </c:yVal>
          <c:smooth val="1"/>
        </c:ser>
        <c:ser>
          <c:idx val="2"/>
          <c:order val="2"/>
          <c:tx>
            <c:v>Equ. (3)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Edit'!$AD$66:$AD$72</c:f>
              <c:numCache>
                <c:formatCode>0.00</c:formatCode>
                <c:ptCount val="7"/>
                <c:pt idx="0" formatCode="General">
                  <c:v>258</c:v>
                </c:pt>
                <c:pt idx="1">
                  <c:v>206.94303757754759</c:v>
                </c:pt>
                <c:pt idx="2">
                  <c:v>200.96730938231957</c:v>
                </c:pt>
                <c:pt idx="3">
                  <c:v>196.6288036490057</c:v>
                </c:pt>
                <c:pt idx="4">
                  <c:v>189.72232473801148</c:v>
                </c:pt>
                <c:pt idx="5">
                  <c:v>188.75531182294571</c:v>
                </c:pt>
                <c:pt idx="6">
                  <c:v>182.65333726873945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05536"/>
        <c:axId val="151507712"/>
      </c:scatterChart>
      <c:valAx>
        <c:axId val="15150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507712"/>
        <c:crosses val="autoZero"/>
        <c:crossBetween val="midCat"/>
      </c:valAx>
      <c:valAx>
        <c:axId val="151507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51505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6683814523184605"/>
                  <c:y val="-0.22547244094488189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Model - 1st Edit'!$D$15:$D$35</c:f>
              <c:numCache>
                <c:formatCode>General</c:formatCode>
                <c:ptCount val="21"/>
                <c:pt idx="0">
                  <c:v>200</c:v>
                </c:pt>
                <c:pt idx="1">
                  <c:v>199</c:v>
                </c:pt>
                <c:pt idx="2">
                  <c:v>198</c:v>
                </c:pt>
                <c:pt idx="3">
                  <c:v>197</c:v>
                </c:pt>
                <c:pt idx="4">
                  <c:v>196</c:v>
                </c:pt>
                <c:pt idx="5">
                  <c:v>195</c:v>
                </c:pt>
                <c:pt idx="6">
                  <c:v>194</c:v>
                </c:pt>
                <c:pt idx="7">
                  <c:v>193</c:v>
                </c:pt>
                <c:pt idx="8">
                  <c:v>192</c:v>
                </c:pt>
                <c:pt idx="9">
                  <c:v>191</c:v>
                </c:pt>
                <c:pt idx="10">
                  <c:v>190</c:v>
                </c:pt>
                <c:pt idx="11">
                  <c:v>189</c:v>
                </c:pt>
                <c:pt idx="12">
                  <c:v>188</c:v>
                </c:pt>
                <c:pt idx="13">
                  <c:v>187</c:v>
                </c:pt>
                <c:pt idx="14">
                  <c:v>186</c:v>
                </c:pt>
                <c:pt idx="15">
                  <c:v>185</c:v>
                </c:pt>
                <c:pt idx="16">
                  <c:v>184</c:v>
                </c:pt>
                <c:pt idx="17">
                  <c:v>183</c:v>
                </c:pt>
                <c:pt idx="18">
                  <c:v>182</c:v>
                </c:pt>
                <c:pt idx="19">
                  <c:v>181</c:v>
                </c:pt>
                <c:pt idx="20">
                  <c:v>180</c:v>
                </c:pt>
              </c:numCache>
            </c:numRef>
          </c:xVal>
          <c:yVal>
            <c:numRef>
              <c:f>'Recovery Model - 1st Edit'!$I$15:$I$35</c:f>
              <c:numCache>
                <c:formatCode>0.000</c:formatCode>
                <c:ptCount val="21"/>
                <c:pt idx="0">
                  <c:v>-12.922365431414537</c:v>
                </c:pt>
                <c:pt idx="1">
                  <c:v>-13.363401794261451</c:v>
                </c:pt>
                <c:pt idx="2">
                  <c:v>-13.804438157108361</c:v>
                </c:pt>
                <c:pt idx="3">
                  <c:v>-14.245474519955275</c:v>
                </c:pt>
                <c:pt idx="4">
                  <c:v>-14.686510882802187</c:v>
                </c:pt>
                <c:pt idx="5">
                  <c:v>-15.127547245649101</c:v>
                </c:pt>
                <c:pt idx="6">
                  <c:v>-15.568583608496011</c:v>
                </c:pt>
                <c:pt idx="7">
                  <c:v>-16.009619971342925</c:v>
                </c:pt>
                <c:pt idx="8">
                  <c:v>-16.450656334189837</c:v>
                </c:pt>
                <c:pt idx="9">
                  <c:v>-16.891692697036749</c:v>
                </c:pt>
                <c:pt idx="10">
                  <c:v>-17.332729059883661</c:v>
                </c:pt>
                <c:pt idx="11">
                  <c:v>-17.773765422730573</c:v>
                </c:pt>
                <c:pt idx="12">
                  <c:v>-18.214801785577489</c:v>
                </c:pt>
                <c:pt idx="13">
                  <c:v>-18.655838148424401</c:v>
                </c:pt>
                <c:pt idx="14">
                  <c:v>-19.096874511271313</c:v>
                </c:pt>
                <c:pt idx="15">
                  <c:v>-19.537910874118225</c:v>
                </c:pt>
                <c:pt idx="16">
                  <c:v>-19.978947236965137</c:v>
                </c:pt>
                <c:pt idx="17">
                  <c:v>-20.419983599812049</c:v>
                </c:pt>
                <c:pt idx="18">
                  <c:v>-20.861019962658965</c:v>
                </c:pt>
                <c:pt idx="19">
                  <c:v>-21.302056325505877</c:v>
                </c:pt>
                <c:pt idx="20">
                  <c:v>-21.743092688352789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521408"/>
        <c:axId val="133523328"/>
      </c:scatterChart>
      <c:valAx>
        <c:axId val="13352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133523328"/>
        <c:crosses val="autoZero"/>
        <c:crossBetween val="midCat"/>
      </c:valAx>
      <c:valAx>
        <c:axId val="133523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335214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4980883639545057"/>
                  <c:y val="-0.1531814724203861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Edit'!$D$18:$D$25</c:f>
              <c:numCache>
                <c:formatCode>General</c:formatCode>
                <c:ptCount val="8"/>
                <c:pt idx="0">
                  <c:v>258</c:v>
                </c:pt>
                <c:pt idx="1">
                  <c:v>226.1842</c:v>
                </c:pt>
                <c:pt idx="2">
                  <c:v>217.9915</c:v>
                </c:pt>
                <c:pt idx="3">
                  <c:v>210.12010000000001</c:v>
                </c:pt>
                <c:pt idx="4">
                  <c:v>202.73060000000001</c:v>
                </c:pt>
                <c:pt idx="5">
                  <c:v>197.75069999999999</c:v>
                </c:pt>
                <c:pt idx="6">
                  <c:v>194.6985</c:v>
                </c:pt>
                <c:pt idx="7">
                  <c:v>190.84309999999999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14496"/>
        <c:axId val="132716416"/>
      </c:scatterChart>
      <c:valAx>
        <c:axId val="13271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716416"/>
        <c:crosses val="autoZero"/>
        <c:crossBetween val="midCat"/>
      </c:valAx>
      <c:valAx>
        <c:axId val="132716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7144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721981627296588"/>
                  <c:y val="1.7609725867599884E-2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Edit'!$D$18:$D$25</c:f>
              <c:numCache>
                <c:formatCode>General</c:formatCode>
                <c:ptCount val="8"/>
                <c:pt idx="0">
                  <c:v>258</c:v>
                </c:pt>
                <c:pt idx="1">
                  <c:v>226.1842</c:v>
                </c:pt>
                <c:pt idx="2">
                  <c:v>217.9915</c:v>
                </c:pt>
                <c:pt idx="3">
                  <c:v>210.12010000000001</c:v>
                </c:pt>
                <c:pt idx="4">
                  <c:v>202.73060000000001</c:v>
                </c:pt>
                <c:pt idx="5">
                  <c:v>197.75069999999999</c:v>
                </c:pt>
                <c:pt idx="6">
                  <c:v>194.6985</c:v>
                </c:pt>
                <c:pt idx="7">
                  <c:v>190.84309999999999</c:v>
                </c:pt>
              </c:numCache>
            </c:numRef>
          </c:xVal>
          <c:yVal>
            <c:numRef>
              <c:f>'Recovery - 2nd Edit'!$I$18:$I$25</c:f>
              <c:numCache>
                <c:formatCode>0.00E+00</c:formatCode>
                <c:ptCount val="8"/>
                <c:pt idx="1">
                  <c:v>-3.0323519123139609E-20</c:v>
                </c:pt>
                <c:pt idx="2">
                  <c:v>-4.2581625017114388E-20</c:v>
                </c:pt>
                <c:pt idx="3">
                  <c:v>-4.7366392118788933E-20</c:v>
                </c:pt>
                <c:pt idx="4">
                  <c:v>-6.1414467510364761E-20</c:v>
                </c:pt>
                <c:pt idx="5">
                  <c:v>-6.5349609784714369E-20</c:v>
                </c:pt>
                <c:pt idx="6">
                  <c:v>-7.5937951778615009E-20</c:v>
                </c:pt>
                <c:pt idx="7">
                  <c:v>-7.7823412970867728E-20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37664"/>
        <c:axId val="132748032"/>
      </c:scatterChart>
      <c:valAx>
        <c:axId val="13273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32748032"/>
        <c:crosses val="autoZero"/>
        <c:crossBetween val="midCat"/>
      </c:valAx>
      <c:valAx>
        <c:axId val="132748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layout/>
          <c:overlay val="0"/>
        </c:title>
        <c:numFmt formatCode="0.00E+00" sourceLinked="0"/>
        <c:majorTickMark val="out"/>
        <c:minorTickMark val="none"/>
        <c:tickLblPos val="nextTo"/>
        <c:crossAx val="132737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4980883639545057"/>
                  <c:y val="-0.1531814724203861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Edit'!$B$40:$B$46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39.885863624040397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 formatCode="0.000">
                  <c:v>2555.5242121151618</c:v>
                </c:pt>
              </c:numCache>
            </c:numRef>
          </c:xVal>
          <c:yVal>
            <c:numRef>
              <c:f>'Recovery - 2nd Edit'!$D$40:$D$46</c:f>
              <c:numCache>
                <c:formatCode>General</c:formatCode>
                <c:ptCount val="7"/>
                <c:pt idx="0">
                  <c:v>258</c:v>
                </c:pt>
                <c:pt idx="1">
                  <c:v>213.17230000000001</c:v>
                </c:pt>
                <c:pt idx="2">
                  <c:v>209.3169</c:v>
                </c:pt>
                <c:pt idx="3">
                  <c:v>203.85509999999999</c:v>
                </c:pt>
                <c:pt idx="4">
                  <c:v>195.82300000000001</c:v>
                </c:pt>
                <c:pt idx="5" formatCode="0.000">
                  <c:v>190.84309999999999</c:v>
                </c:pt>
                <c:pt idx="6" formatCode="0.000">
                  <c:v>185.70259999999999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12640"/>
        <c:axId val="132914560"/>
      </c:scatterChart>
      <c:valAx>
        <c:axId val="132912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914560"/>
        <c:crosses val="autoZero"/>
        <c:crossBetween val="midCat"/>
      </c:valAx>
      <c:valAx>
        <c:axId val="132914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2912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721981627296588"/>
                  <c:y val="1.7609725867599884E-2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Edit'!$D$40:$D$46</c:f>
              <c:numCache>
                <c:formatCode>General</c:formatCode>
                <c:ptCount val="7"/>
                <c:pt idx="0">
                  <c:v>258</c:v>
                </c:pt>
                <c:pt idx="1">
                  <c:v>213.17230000000001</c:v>
                </c:pt>
                <c:pt idx="2">
                  <c:v>209.3169</c:v>
                </c:pt>
                <c:pt idx="3">
                  <c:v>203.85509999999999</c:v>
                </c:pt>
                <c:pt idx="4">
                  <c:v>195.82300000000001</c:v>
                </c:pt>
                <c:pt idx="5" formatCode="0.000">
                  <c:v>190.84309999999999</c:v>
                </c:pt>
                <c:pt idx="6" formatCode="0.000">
                  <c:v>185.70259999999999</c:v>
                </c:pt>
              </c:numCache>
            </c:numRef>
          </c:xVal>
          <c:yVal>
            <c:numRef>
              <c:f>'Recovery - 2nd Edit'!$I$40:$I$46</c:f>
              <c:numCache>
                <c:formatCode>0.00E+00</c:formatCode>
                <c:ptCount val="7"/>
                <c:pt idx="1">
                  <c:v>-2.956884105876885E-20</c:v>
                </c:pt>
                <c:pt idx="2">
                  <c:v>-4.9908506418055841E-20</c:v>
                </c:pt>
                <c:pt idx="3">
                  <c:v>-5.2435250669912262E-20</c:v>
                </c:pt>
                <c:pt idx="4">
                  <c:v>-6.4005749698539089E-20</c:v>
                </c:pt>
                <c:pt idx="5">
                  <c:v>-6.8999685973115E-20</c:v>
                </c:pt>
                <c:pt idx="6">
                  <c:v>-7.6324326473752284E-20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60640"/>
        <c:axId val="132962560"/>
      </c:scatterChart>
      <c:valAx>
        <c:axId val="13296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132962560"/>
        <c:crosses val="autoZero"/>
        <c:crossBetween val="midCat"/>
      </c:valAx>
      <c:valAx>
        <c:axId val="132962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layout/>
          <c:overlay val="0"/>
        </c:title>
        <c:numFmt formatCode="0.00E+00" sourceLinked="1"/>
        <c:majorTickMark val="out"/>
        <c:minorTickMark val="none"/>
        <c:tickLblPos val="nextTo"/>
        <c:crossAx val="132960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exp"/>
            <c:dispRSqr val="1"/>
            <c:dispEq val="1"/>
            <c:trendlineLbl>
              <c:layout>
                <c:manualLayout>
                  <c:x val="0.34980883639545057"/>
                  <c:y val="-0.1531814724203861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Edit'!$B$66:$B$72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>
                  <c:v>2555.5242121151618</c:v>
                </c:pt>
              </c:numCache>
            </c:numRef>
          </c:xVal>
          <c:yVal>
            <c:numRef>
              <c:f>'Recovery - 2nd Edit'!$D$66:$D$72</c:f>
              <c:numCache>
                <c:formatCode>0.0000</c:formatCode>
                <c:ptCount val="7"/>
                <c:pt idx="0" formatCode="0">
                  <c:v>258</c:v>
                </c:pt>
                <c:pt idx="1">
                  <c:v>206.90729999999999</c:v>
                </c:pt>
                <c:pt idx="2">
                  <c:v>200.96350000000001</c:v>
                </c:pt>
                <c:pt idx="3">
                  <c:v>196.62619999999998</c:v>
                </c:pt>
                <c:pt idx="4" formatCode="General">
                  <c:v>189.71860000000001</c:v>
                </c:pt>
                <c:pt idx="5" formatCode="General">
                  <c:v>188.75479999999999</c:v>
                </c:pt>
                <c:pt idx="6" formatCode="General">
                  <c:v>182.65039999999999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11488"/>
        <c:axId val="133325952"/>
      </c:scatterChart>
      <c:valAx>
        <c:axId val="13331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325952"/>
        <c:crosses val="autoZero"/>
        <c:crossBetween val="midCat"/>
      </c:valAx>
      <c:valAx>
        <c:axId val="133325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33311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721981627296588"/>
                  <c:y val="1.7609725867599884E-2"/>
                </c:manualLayout>
              </c:layout>
              <c:numFmt formatCode="General" sourceLinked="0"/>
              <c:spPr>
                <a:solidFill>
                  <a:schemeClr val="lt1"/>
                </a:solidFill>
                <a:ln w="25400" cap="flat" cmpd="sng" algn="ctr">
                  <a:solidFill>
                    <a:schemeClr val="accent2"/>
                  </a:solidFill>
                  <a:prstDash val="solid"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'Recovery - 2nd Edit'!$D$66:$D$72</c:f>
              <c:numCache>
                <c:formatCode>0.0000</c:formatCode>
                <c:ptCount val="7"/>
                <c:pt idx="0" formatCode="0">
                  <c:v>258</c:v>
                </c:pt>
                <c:pt idx="1">
                  <c:v>206.90729999999999</c:v>
                </c:pt>
                <c:pt idx="2">
                  <c:v>200.96350000000001</c:v>
                </c:pt>
                <c:pt idx="3">
                  <c:v>196.62619999999998</c:v>
                </c:pt>
                <c:pt idx="4" formatCode="General">
                  <c:v>189.71860000000001</c:v>
                </c:pt>
                <c:pt idx="5" formatCode="General">
                  <c:v>188.75479999999999</c:v>
                </c:pt>
                <c:pt idx="6" formatCode="General">
                  <c:v>182.65039999999999</c:v>
                </c:pt>
              </c:numCache>
            </c:numRef>
          </c:xVal>
          <c:yVal>
            <c:numRef>
              <c:f>'Recovery - 2nd Edit'!$I$66:$I$72</c:f>
              <c:numCache>
                <c:formatCode>0.00E+00</c:formatCode>
                <c:ptCount val="7"/>
                <c:pt idx="1">
                  <c:v>-3.0108629835366032E-20</c:v>
                </c:pt>
                <c:pt idx="2">
                  <c:v>-4.9399969267480801E-20</c:v>
                </c:pt>
                <c:pt idx="3">
                  <c:v>-5.6676886838910109E-20</c:v>
                </c:pt>
                <c:pt idx="4">
                  <c:v>-6.8307956915905636E-20</c:v>
                </c:pt>
                <c:pt idx="5">
                  <c:v>-8.4322099207120685E-20</c:v>
                </c:pt>
                <c:pt idx="6">
                  <c:v>-7.8914907259159931E-20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55008"/>
        <c:axId val="133356928"/>
      </c:scatterChart>
      <c:valAx>
        <c:axId val="13335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low"/>
        <c:crossAx val="133356928"/>
        <c:crosses val="autoZero"/>
        <c:crossBetween val="midCat"/>
      </c:valAx>
      <c:valAx>
        <c:axId val="133356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"y"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33355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Stress Data Fit @ All Temps.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Exp. Data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Edit'!$D$18:$D$25</c:f>
              <c:numCache>
                <c:formatCode>General</c:formatCode>
                <c:ptCount val="8"/>
                <c:pt idx="0">
                  <c:v>258</c:v>
                </c:pt>
                <c:pt idx="1">
                  <c:v>226.1842</c:v>
                </c:pt>
                <c:pt idx="2">
                  <c:v>217.9915</c:v>
                </c:pt>
                <c:pt idx="3">
                  <c:v>210.12010000000001</c:v>
                </c:pt>
                <c:pt idx="4">
                  <c:v>202.73060000000001</c:v>
                </c:pt>
                <c:pt idx="5">
                  <c:v>197.75069999999999</c:v>
                </c:pt>
                <c:pt idx="6">
                  <c:v>194.6985</c:v>
                </c:pt>
                <c:pt idx="7">
                  <c:v>190.84309999999999</c:v>
                </c:pt>
              </c:numCache>
            </c:numRef>
          </c:yVal>
          <c:smooth val="1"/>
        </c:ser>
        <c:ser>
          <c:idx val="1"/>
          <c:order val="1"/>
          <c:tx>
            <c:v>Model Data - 200C</c:v>
          </c:tx>
          <c:xVal>
            <c:numRef>
              <c:f>'Recovery - 2nd Edit'!$B$18:$B$25</c:f>
              <c:numCache>
                <c:formatCode>General</c:formatCode>
                <c:ptCount val="8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498.21867224617483</c:v>
                </c:pt>
                <c:pt idx="5">
                  <c:v>999.83883203244352</c:v>
                </c:pt>
                <c:pt idx="6">
                  <c:v>2555.5242121151618</c:v>
                </c:pt>
                <c:pt idx="7" formatCode="0.000">
                  <c:v>5178.3332990968693</c:v>
                </c:pt>
              </c:numCache>
            </c:numRef>
          </c:xVal>
          <c:yVal>
            <c:numRef>
              <c:f>'Recovery - 2nd Edit'!$V$18:$V$25</c:f>
              <c:numCache>
                <c:formatCode>0.00</c:formatCode>
                <c:ptCount val="8"/>
                <c:pt idx="0">
                  <c:v>258.00000000021942</c:v>
                </c:pt>
                <c:pt idx="1">
                  <c:v>226.18419999983857</c:v>
                </c:pt>
                <c:pt idx="2">
                  <c:v>217.99150000003948</c:v>
                </c:pt>
                <c:pt idx="3">
                  <c:v>210.12009999975467</c:v>
                </c:pt>
                <c:pt idx="4">
                  <c:v>202.73060000009519</c:v>
                </c:pt>
                <c:pt idx="5">
                  <c:v>197.75070000025264</c:v>
                </c:pt>
                <c:pt idx="6">
                  <c:v>194.69850000020352</c:v>
                </c:pt>
                <c:pt idx="7">
                  <c:v>190.8431000000148</c:v>
                </c:pt>
              </c:numCache>
            </c:numRef>
          </c:yVal>
          <c:smooth val="1"/>
        </c:ser>
        <c:ser>
          <c:idx val="2"/>
          <c:order val="2"/>
          <c:tx>
            <c:v>Model Data - 225C</c:v>
          </c:tx>
          <c:xVal>
            <c:numRef>
              <c:f>'Recovery - 2nd Edit'!$B$40:$B$46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39.885863624040397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 formatCode="0.000">
                  <c:v>2555.5242121151618</c:v>
                </c:pt>
              </c:numCache>
            </c:numRef>
          </c:xVal>
          <c:yVal>
            <c:numRef>
              <c:f>'Recovery - 2nd Edit'!$V$40:$V$46</c:f>
              <c:numCache>
                <c:formatCode>0.00</c:formatCode>
                <c:ptCount val="7"/>
                <c:pt idx="0">
                  <c:v>258.00000000021942</c:v>
                </c:pt>
                <c:pt idx="1">
                  <c:v>213.17229999980378</c:v>
                </c:pt>
                <c:pt idx="2">
                  <c:v>209.31690000021689</c:v>
                </c:pt>
                <c:pt idx="3">
                  <c:v>203.855099999749</c:v>
                </c:pt>
                <c:pt idx="4">
                  <c:v>195.82299999985736</c:v>
                </c:pt>
                <c:pt idx="5">
                  <c:v>190.8431000000148</c:v>
                </c:pt>
                <c:pt idx="6">
                  <c:v>185.70260000026485</c:v>
                </c:pt>
              </c:numCache>
            </c:numRef>
          </c:yVal>
          <c:smooth val="1"/>
        </c:ser>
        <c:ser>
          <c:idx val="3"/>
          <c:order val="3"/>
          <c:tx>
            <c:v>Model Data - 250C</c:v>
          </c:tx>
          <c:xVal>
            <c:numRef>
              <c:f>'Recovery - 2nd Edit'!$B$66:$B$72</c:f>
              <c:numCache>
                <c:formatCode>General</c:formatCode>
                <c:ptCount val="7"/>
                <c:pt idx="0">
                  <c:v>0</c:v>
                </c:pt>
                <c:pt idx="1">
                  <c:v>15.012879542386322</c:v>
                </c:pt>
                <c:pt idx="2">
                  <c:v>40.273650789130926</c:v>
                </c:pt>
                <c:pt idx="3">
                  <c:v>90.771392940245661</c:v>
                </c:pt>
                <c:pt idx="4">
                  <c:v>493.42369366558108</c:v>
                </c:pt>
                <c:pt idx="5">
                  <c:v>1009.5550370813455</c:v>
                </c:pt>
                <c:pt idx="6">
                  <c:v>2555.5242121151618</c:v>
                </c:pt>
              </c:numCache>
            </c:numRef>
          </c:xVal>
          <c:yVal>
            <c:numRef>
              <c:f>'Recovery - 2nd Edit'!$V$66:$V$72</c:f>
              <c:numCache>
                <c:formatCode>0.00</c:formatCode>
                <c:ptCount val="7"/>
                <c:pt idx="0">
                  <c:v>258.00000000021942</c:v>
                </c:pt>
                <c:pt idx="1">
                  <c:v>206.90729999979811</c:v>
                </c:pt>
                <c:pt idx="2">
                  <c:v>200.96350000020919</c:v>
                </c:pt>
                <c:pt idx="3">
                  <c:v>196.62619999999697</c:v>
                </c:pt>
                <c:pt idx="4">
                  <c:v>189.71859999975914</c:v>
                </c:pt>
                <c:pt idx="5">
                  <c:v>188.75479999971211</c:v>
                </c:pt>
                <c:pt idx="6">
                  <c:v>182.65040000021577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96352"/>
        <c:axId val="133406720"/>
      </c:scatterChart>
      <c:valAx>
        <c:axId val="13339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Time,</a:t>
                </a:r>
                <a:r>
                  <a:rPr lang="en-US" baseline="0"/>
                  <a:t> Seconds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406720"/>
        <c:crosses val="autoZero"/>
        <c:crossBetween val="midCat"/>
      </c:valAx>
      <c:valAx>
        <c:axId val="133406720"/>
        <c:scaling>
          <c:orientation val="minMax"/>
          <c:min val="1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Yield Stress, MPa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3396352"/>
        <c:crosses val="autoZero"/>
        <c:crossBetween val="midCat"/>
      </c:valAx>
    </c:plotArea>
    <c:legend>
      <c:legendPos val="b"/>
      <c:layout/>
      <c:overlay val="0"/>
      <c:spPr>
        <a:solidFill>
          <a:schemeClr val="bg2"/>
        </a:solidFill>
        <a:ln w="19050"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2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144780</xdr:colOff>
      <xdr:row>0</xdr:row>
      <xdr:rowOff>102870</xdr:rowOff>
    </xdr:from>
    <xdr:to>
      <xdr:col>19</xdr:col>
      <xdr:colOff>449580</xdr:colOff>
      <xdr:row>15</xdr:row>
      <xdr:rowOff>102870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167640</xdr:colOff>
      <xdr:row>16</xdr:row>
      <xdr:rowOff>87630</xdr:rowOff>
    </xdr:from>
    <xdr:to>
      <xdr:col>19</xdr:col>
      <xdr:colOff>472440</xdr:colOff>
      <xdr:row>31</xdr:row>
      <xdr:rowOff>87630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137160</xdr:colOff>
      <xdr:row>20</xdr:row>
      <xdr:rowOff>57150</xdr:rowOff>
    </xdr:from>
    <xdr:ext cx="3352800" cy="7277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788920" y="38366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CA" sz="1400" b="1" i="1">
                      <a:latin typeface="Cambria Math"/>
                    </a:rPr>
                    <m:t>𝒌𝑻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×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𝒍𝒏</m:t>
                  </m:r>
                  <m:d>
                    <m:d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𝑲</m:t>
                          </m:r>
                        </m:den>
                      </m:f>
                      <m:r>
                        <a:rPr lang="en-CA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×</m:t>
                      </m:r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∆</m:t>
                              </m:r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∆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𝒕</m:t>
                          </m:r>
                        </m:den>
                      </m:f>
                    </m:e>
                  </m:d>
                  <m:r>
                    <a:rPr lang="en-CA" sz="1400" b="1" i="1">
                      <a:latin typeface="Cambria Math"/>
                      <a:ea typeface="Cambria Math"/>
                    </a:rPr>
                    <m:t>=−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𝑼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𝒐</m:t>
                      </m:r>
                    </m:sub>
                  </m:sSub>
                  <m:r>
                    <a:rPr lang="en-CA" sz="1400" b="1" i="1">
                      <a:latin typeface="Cambria Math"/>
                      <a:ea typeface="Cambria Math"/>
                    </a:rPr>
                    <m:t>+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𝝑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𝝈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𝒊</m:t>
                      </m:r>
                    </m:sub>
                  </m:sSub>
                  <m:r>
                    <a:rPr lang="en-CA" sz="1400" b="1" i="0">
                      <a:latin typeface="Cambria Math"/>
                      <a:ea typeface="Cambria Math"/>
                    </a:rPr>
                    <m:t>    </m:t>
                  </m:r>
                </m:oMath>
              </a14:m>
              <a:r>
                <a:rPr lang="en-CA" sz="1400" b="1"/>
                <a:t>(2)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400" b="0" i="1">
                        <a:latin typeface="Cambria Math"/>
                      </a:rPr>
                      <m:t>𝑦</m:t>
                    </m:r>
                    <m:r>
                      <a:rPr lang="en-CA" sz="1400" b="0" i="1">
                        <a:latin typeface="Cambria Math"/>
                      </a:rPr>
                      <m:t>=</m:t>
                    </m:r>
                    <m:r>
                      <a:rPr lang="en-CA" sz="1400" b="0" i="1">
                        <a:latin typeface="Cambria Math"/>
                      </a:rPr>
                      <m:t>𝑏</m:t>
                    </m:r>
                    <m:r>
                      <a:rPr lang="en-CA" sz="1400" b="0" i="1">
                        <a:latin typeface="Cambria Math"/>
                      </a:rPr>
                      <m:t>+</m:t>
                    </m:r>
                    <m:r>
                      <a:rPr lang="en-CA" sz="1400" b="0" i="1">
                        <a:latin typeface="Cambria Math"/>
                      </a:rPr>
                      <m:t>𝑚𝑥</m:t>
                    </m:r>
                  </m:oMath>
                </m:oMathPara>
              </a14:m>
              <a:endParaRPr lang="en-CA" sz="14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788920" y="38366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latin typeface="Cambria Math"/>
                </a:rPr>
                <a:t>𝒌𝑻</a:t>
              </a:r>
              <a:r>
                <a:rPr lang="en-CA" sz="1400" b="1" i="0">
                  <a:latin typeface="Cambria Math"/>
                  <a:ea typeface="Cambria Math"/>
                </a:rPr>
                <a:t>×𝒍𝒏(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(−𝟏)/𝑲×〖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𝝈〗_𝒊/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𝒕)</a:t>
              </a:r>
              <a:r>
                <a:rPr lang="en-CA" sz="1400" b="1" i="0">
                  <a:latin typeface="Cambria Math"/>
                  <a:ea typeface="Cambria Math"/>
                </a:rPr>
                <a:t>=−𝑼_𝒐+𝝑𝝈_𝒊     </a:t>
              </a:r>
              <a:r>
                <a:rPr lang="en-CA" sz="1400" b="1"/>
                <a:t>(2)</a:t>
              </a:r>
            </a:p>
            <a:p>
              <a:pPr/>
              <a:r>
                <a:rPr lang="en-CA" sz="1400" b="0" i="0">
                  <a:latin typeface="Cambria Math"/>
                </a:rPr>
                <a:t>𝑦=𝑏+𝑚𝑥</a:t>
              </a:r>
              <a:endParaRPr lang="en-CA" sz="1400"/>
            </a:p>
          </xdr:txBody>
        </xdr:sp>
      </mc:Fallback>
    </mc:AlternateContent>
    <xdr:clientData/>
  </xdr:oneCellAnchor>
  <xdr:twoCellAnchor>
    <xdr:from>
      <xdr:col>1</xdr:col>
      <xdr:colOff>45720</xdr:colOff>
      <xdr:row>35</xdr:row>
      <xdr:rowOff>76200</xdr:rowOff>
    </xdr:from>
    <xdr:to>
      <xdr:col>3</xdr:col>
      <xdr:colOff>449580</xdr:colOff>
      <xdr:row>36</xdr:row>
      <xdr:rowOff>121920</xdr:rowOff>
    </xdr:to>
    <xdr:sp macro="" textlink="">
      <xdr:nvSpPr>
        <xdr:cNvPr id="5" name="TextBox 4"/>
        <xdr:cNvSpPr txBox="1"/>
      </xdr:nvSpPr>
      <xdr:spPr>
        <a:xfrm>
          <a:off x="655320" y="6606540"/>
          <a:ext cx="1836420" cy="2286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1: Acquire t, T, </a:t>
          </a:r>
          <a:r>
            <a:rPr lang="el-GR" sz="1100"/>
            <a:t>σ</a:t>
          </a:r>
          <a:r>
            <a:rPr lang="en-CA" sz="1100" baseline="-25000"/>
            <a:t>i</a:t>
          </a:r>
          <a:r>
            <a:rPr lang="en-CA" sz="1100"/>
            <a:t> values</a:t>
          </a:r>
        </a:p>
        <a:p>
          <a:endParaRPr lang="en-CA" sz="1100"/>
        </a:p>
      </xdr:txBody>
    </xdr:sp>
    <xdr:clientData/>
  </xdr:twoCellAnchor>
  <xdr:twoCellAnchor>
    <xdr:from>
      <xdr:col>1</xdr:col>
      <xdr:colOff>38100</xdr:colOff>
      <xdr:row>37</xdr:row>
      <xdr:rowOff>38100</xdr:rowOff>
    </xdr:from>
    <xdr:to>
      <xdr:col>3</xdr:col>
      <xdr:colOff>533400</xdr:colOff>
      <xdr:row>38</xdr:row>
      <xdr:rowOff>129540</xdr:rowOff>
    </xdr:to>
    <xdr:sp macro="" textlink="">
      <xdr:nvSpPr>
        <xdr:cNvPr id="6" name="TextBox 5"/>
        <xdr:cNvSpPr txBox="1"/>
      </xdr:nvSpPr>
      <xdr:spPr>
        <a:xfrm>
          <a:off x="647700" y="6934200"/>
          <a:ext cx="1927860" cy="27432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2:</a:t>
          </a:r>
          <a:r>
            <a:rPr lang="en-CA" sz="1100" baseline="0"/>
            <a:t> Calculate </a:t>
          </a:r>
          <a:r>
            <a:rPr lang="el-GR" sz="1100" baseline="0"/>
            <a:t>Δσ</a:t>
          </a:r>
          <a:r>
            <a:rPr lang="en-CA" sz="1100" baseline="0"/>
            <a:t>, </a:t>
          </a:r>
          <a:r>
            <a:rPr lang="el-GR" sz="1100" baseline="0"/>
            <a:t>Δ</a:t>
          </a:r>
          <a:r>
            <a:rPr lang="en-CA" sz="1100" baseline="0"/>
            <a:t>t,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Δσ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endParaRPr lang="en-CA" sz="1100"/>
        </a:p>
      </xdr:txBody>
    </xdr:sp>
    <xdr:clientData/>
  </xdr:twoCellAnchor>
  <xdr:twoCellAnchor>
    <xdr:from>
      <xdr:col>1</xdr:col>
      <xdr:colOff>60960</xdr:colOff>
      <xdr:row>39</xdr:row>
      <xdr:rowOff>45720</xdr:rowOff>
    </xdr:from>
    <xdr:to>
      <xdr:col>3</xdr:col>
      <xdr:colOff>556260</xdr:colOff>
      <xdr:row>42</xdr:row>
      <xdr:rowOff>144780</xdr:rowOff>
    </xdr:to>
    <xdr:sp macro="" textlink="">
      <xdr:nvSpPr>
        <xdr:cNvPr id="7" name="TextBox 6"/>
        <xdr:cNvSpPr txBox="1"/>
      </xdr:nvSpPr>
      <xdr:spPr>
        <a:xfrm>
          <a:off x="670560" y="7307580"/>
          <a:ext cx="1927860" cy="6477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3:</a:t>
          </a:r>
          <a:r>
            <a:rPr lang="en-CA" sz="1100" baseline="0"/>
            <a:t> Plot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vs. t ; fit to exponential trendline ; obtain K value</a:t>
          </a:r>
          <a:endParaRPr lang="en-CA" sz="1100" baseline="0"/>
        </a:p>
      </xdr:txBody>
    </xdr:sp>
    <xdr:clientData/>
  </xdr:twoCellAnchor>
  <xdr:twoCellAnchor>
    <xdr:from>
      <xdr:col>5</xdr:col>
      <xdr:colOff>91440</xdr:colOff>
      <xdr:row>41</xdr:row>
      <xdr:rowOff>175260</xdr:rowOff>
    </xdr:from>
    <xdr:to>
      <xdr:col>8</xdr:col>
      <xdr:colOff>190500</xdr:colOff>
      <xdr:row>45</xdr:row>
      <xdr:rowOff>91440</xdr:rowOff>
    </xdr:to>
    <xdr:sp macro="" textlink="">
      <xdr:nvSpPr>
        <xdr:cNvPr id="8" name="TextBox 7"/>
        <xdr:cNvSpPr txBox="1"/>
      </xdr:nvSpPr>
      <xdr:spPr>
        <a:xfrm>
          <a:off x="3352800" y="7802880"/>
          <a:ext cx="1927860" cy="6477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5:</a:t>
          </a:r>
          <a:r>
            <a:rPr lang="en-CA" sz="1100" baseline="0"/>
            <a:t> Plot "y" vs.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σ</a:t>
          </a:r>
          <a:r>
            <a:rPr lang="en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; fit to linear trendline ; obtain U</a:t>
          </a:r>
          <a:r>
            <a:rPr lang="en-CA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ν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values</a:t>
          </a:r>
          <a:endParaRPr lang="en-CA" sz="1100" baseline="0"/>
        </a:p>
      </xdr:txBody>
    </xdr:sp>
    <xdr:clientData/>
  </xdr:twoCellAnchor>
  <xdr:twoCellAnchor>
    <xdr:from>
      <xdr:col>5</xdr:col>
      <xdr:colOff>76200</xdr:colOff>
      <xdr:row>35</xdr:row>
      <xdr:rowOff>175260</xdr:rowOff>
    </xdr:from>
    <xdr:to>
      <xdr:col>8</xdr:col>
      <xdr:colOff>175260</xdr:colOff>
      <xdr:row>41</xdr:row>
      <xdr:rowOff>60960</xdr:rowOff>
    </xdr:to>
    <xdr:sp macro="" textlink="">
      <xdr:nvSpPr>
        <xdr:cNvPr id="9" name="TextBox 8"/>
        <xdr:cNvSpPr txBox="1"/>
      </xdr:nvSpPr>
      <xdr:spPr>
        <a:xfrm>
          <a:off x="3337560" y="6705600"/>
          <a:ext cx="1927860" cy="98298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4:</a:t>
          </a:r>
          <a:r>
            <a:rPr lang="en-CA" sz="1100" baseline="0"/>
            <a:t> Use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Δσ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t, K, k, T to obtain a "y" value ; to be used in ascertaining a linear fit to obtain activation energy and volume</a:t>
          </a:r>
          <a:endParaRPr lang="en-CA" sz="1100"/>
        </a:p>
      </xdr:txBody>
    </xdr:sp>
    <xdr:clientData/>
  </xdr:twoCellAnchor>
  <xdr:twoCellAnchor>
    <xdr:from>
      <xdr:col>9</xdr:col>
      <xdr:colOff>205740</xdr:colOff>
      <xdr:row>36</xdr:row>
      <xdr:rowOff>30480</xdr:rowOff>
    </xdr:from>
    <xdr:to>
      <xdr:col>12</xdr:col>
      <xdr:colOff>91440</xdr:colOff>
      <xdr:row>38</xdr:row>
      <xdr:rowOff>144780</xdr:rowOff>
    </xdr:to>
    <xdr:sp macro="" textlink="">
      <xdr:nvSpPr>
        <xdr:cNvPr id="10" name="TextBox 9"/>
        <xdr:cNvSpPr txBox="1"/>
      </xdr:nvSpPr>
      <xdr:spPr>
        <a:xfrm>
          <a:off x="6118860" y="6743700"/>
          <a:ext cx="1927860" cy="48006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Step 6:</a:t>
          </a:r>
          <a:r>
            <a:rPr lang="en-CA" sz="1100" baseline="0"/>
            <a:t> Calculate equ. (1) to determine d</a:t>
          </a:r>
          <a:r>
            <a:rPr lang="el-GR" sz="1100" baseline="0"/>
            <a:t>σ/</a:t>
          </a:r>
          <a:r>
            <a:rPr lang="en-CA" sz="1100" baseline="0"/>
            <a:t>dt</a:t>
          </a:r>
        </a:p>
      </xdr:txBody>
    </xdr:sp>
    <xdr:clientData/>
  </xdr:twoCellAnchor>
  <xdr:oneCellAnchor>
    <xdr:from>
      <xdr:col>4</xdr:col>
      <xdr:colOff>152400</xdr:colOff>
      <xdr:row>16</xdr:row>
      <xdr:rowOff>22860</xdr:rowOff>
    </xdr:from>
    <xdr:ext cx="2552700" cy="5105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2804160" y="307086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𝒅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𝝈</m:t>
                          </m:r>
                        </m:e>
                        <m: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</m:num>
                    <m:den>
                      <m: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𝒅𝒕</m:t>
                      </m:r>
                    </m:den>
                  </m:f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=−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𝑲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𝒆𝒙𝒑</m:t>
                  </m:r>
                  <m:d>
                    <m:d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𝑼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𝒐</m:t>
                              </m:r>
                            </m:sub>
                          </m:s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𝝑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  <m:r>
                            <a:rPr lang="en-CA" sz="14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   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𝒌𝑻</m:t>
                          </m:r>
                        </m:den>
                      </m:f>
                    </m:e>
                  </m:d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   </m:t>
                  </m:r>
                </m:oMath>
              </a14:m>
              <a:r>
                <a:rPr lang="en-CA" sz="1400" b="1"/>
                <a:t>(1)</a:t>
              </a: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2804160" y="307086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〖𝒅𝝈〗_𝒊/𝒅𝒕=−𝑲 𝒆𝒙𝒑((−𝑼_𝒐+𝝑𝝈_𝒊     )/𝒌𝑻)      </a:t>
              </a:r>
              <a:r>
                <a:rPr lang="en-CA" sz="1400" b="1"/>
                <a:t>(1)</a:t>
              </a:r>
            </a:p>
          </xdr:txBody>
        </xdr:sp>
      </mc:Fallback>
    </mc:AlternateContent>
    <xdr:clientData/>
  </xdr:oneCellAnchor>
  <xdr:twoCellAnchor>
    <xdr:from>
      <xdr:col>0</xdr:col>
      <xdr:colOff>441960</xdr:colOff>
      <xdr:row>0</xdr:row>
      <xdr:rowOff>129540</xdr:rowOff>
    </xdr:from>
    <xdr:to>
      <xdr:col>5</xdr:col>
      <xdr:colOff>205740</xdr:colOff>
      <xdr:row>9</xdr:row>
      <xdr:rowOff>76200</xdr:rowOff>
    </xdr:to>
    <xdr:sp macro="" textlink="">
      <xdr:nvSpPr>
        <xdr:cNvPr id="11" name="Rounded Rectangle 10"/>
        <xdr:cNvSpPr/>
      </xdr:nvSpPr>
      <xdr:spPr>
        <a:xfrm>
          <a:off x="441960" y="129540"/>
          <a:ext cx="3025140" cy="170688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144780</xdr:colOff>
      <xdr:row>1</xdr:row>
      <xdr:rowOff>72390</xdr:rowOff>
    </xdr:from>
    <xdr:ext cx="3352800" cy="72771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802380" y="2552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n-CA" sz="1400" b="1" i="1">
                      <a:latin typeface="Cambria Math"/>
                    </a:rPr>
                    <m:t>𝒌𝑻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×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𝒍𝒏</m:t>
                  </m:r>
                  <m:d>
                    <m:d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𝟏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𝑲</m:t>
                          </m:r>
                        </m:den>
                      </m:f>
                      <m:r>
                        <a:rPr lang="en-CA" sz="1400" b="1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×</m:t>
                      </m:r>
                      <m:f>
                        <m:fPr>
                          <m:ctrlP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Cambria Math"/>
                                  <a:cs typeface="+mn-cs"/>
                                </a:rPr>
                                <m:t>∆</m:t>
                              </m:r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</m:num>
                        <m:den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∆</m:t>
                          </m:r>
                          <m:r>
                            <a:rPr lang="en-CA" sz="1400" b="1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𝒕</m:t>
                          </m:r>
                        </m:den>
                      </m:f>
                    </m:e>
                  </m:d>
                  <m:r>
                    <a:rPr lang="en-CA" sz="1400" b="1" i="1">
                      <a:latin typeface="Cambria Math"/>
                      <a:ea typeface="Cambria Math"/>
                    </a:rPr>
                    <m:t>=−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𝑼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𝒐</m:t>
                      </m:r>
                    </m:sub>
                  </m:sSub>
                  <m:r>
                    <a:rPr lang="en-CA" sz="1400" b="1" i="1">
                      <a:latin typeface="Cambria Math"/>
                      <a:ea typeface="Cambria Math"/>
                    </a:rPr>
                    <m:t>+</m:t>
                  </m:r>
                  <m:r>
                    <a:rPr lang="en-CA" sz="1400" b="1" i="1">
                      <a:latin typeface="Cambria Math"/>
                      <a:ea typeface="Cambria Math"/>
                    </a:rPr>
                    <m:t>𝝑</m:t>
                  </m:r>
                  <m:sSub>
                    <m:sSubPr>
                      <m:ctrlPr>
                        <a:rPr lang="en-CA" sz="1400" b="1" i="1">
                          <a:latin typeface="Cambria Math"/>
                          <a:ea typeface="Cambria Math"/>
                        </a:rPr>
                      </m:ctrlPr>
                    </m:sSubPr>
                    <m:e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𝝈</m:t>
                      </m:r>
                    </m:e>
                    <m:sub>
                      <m:r>
                        <a:rPr lang="en-CA" sz="1400" b="1" i="1">
                          <a:latin typeface="Cambria Math"/>
                          <a:ea typeface="Cambria Math"/>
                        </a:rPr>
                        <m:t>𝒊</m:t>
                      </m:r>
                    </m:sub>
                  </m:sSub>
                  <m:r>
                    <a:rPr lang="en-CA" sz="1400" b="1" i="0">
                      <a:latin typeface="Cambria Math"/>
                      <a:ea typeface="Cambria Math"/>
                    </a:rPr>
                    <m:t>    </m:t>
                  </m:r>
                </m:oMath>
              </a14:m>
              <a:r>
                <a:rPr lang="en-CA" sz="1400" b="1"/>
                <a:t>(2)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400" b="0" i="1">
                        <a:latin typeface="Cambria Math"/>
                      </a:rPr>
                      <m:t>𝑦</m:t>
                    </m:r>
                    <m:r>
                      <a:rPr lang="en-CA" sz="1400" b="0" i="1">
                        <a:latin typeface="Cambria Math"/>
                      </a:rPr>
                      <m:t>=</m:t>
                    </m:r>
                    <m:r>
                      <a:rPr lang="en-CA" sz="1400" b="0" i="1">
                        <a:latin typeface="Cambria Math"/>
                      </a:rPr>
                      <m:t>𝑏</m:t>
                    </m:r>
                    <m:r>
                      <a:rPr lang="en-CA" sz="1400" b="0" i="1">
                        <a:latin typeface="Cambria Math"/>
                      </a:rPr>
                      <m:t>+</m:t>
                    </m:r>
                    <m:r>
                      <a:rPr lang="en-CA" sz="1400" b="0" i="1">
                        <a:latin typeface="Cambria Math"/>
                      </a:rPr>
                      <m:t>𝑚𝑥</m:t>
                    </m:r>
                  </m:oMath>
                </m:oMathPara>
              </a14:m>
              <a:endParaRPr lang="en-CA" sz="14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802380" y="255270"/>
              <a:ext cx="3352800" cy="72771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latin typeface="Cambria Math"/>
                </a:rPr>
                <a:t>𝒌𝑻</a:t>
              </a:r>
              <a:r>
                <a:rPr lang="en-CA" sz="1400" b="1" i="0">
                  <a:latin typeface="Cambria Math"/>
                  <a:ea typeface="Cambria Math"/>
                </a:rPr>
                <a:t>×𝒍𝒏(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(−𝟏)/𝑲×〖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𝝈〗_𝒊/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∆</a:t>
              </a:r>
              <a:r>
                <a:rPr lang="en-CA" sz="14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𝒕)</a:t>
              </a:r>
              <a:r>
                <a:rPr lang="en-CA" sz="1400" b="1" i="0">
                  <a:latin typeface="Cambria Math"/>
                  <a:ea typeface="Cambria Math"/>
                </a:rPr>
                <a:t>=−𝑼_𝒐+𝝑𝝈_𝒊     </a:t>
              </a:r>
              <a:r>
                <a:rPr lang="en-CA" sz="1400" b="1"/>
                <a:t>(2)</a:t>
              </a:r>
            </a:p>
            <a:p>
              <a:pPr/>
              <a:r>
                <a:rPr lang="en-CA" sz="1400" b="0" i="0">
                  <a:latin typeface="Cambria Math"/>
                </a:rPr>
                <a:t>𝑦=𝑏+𝑚𝑥</a:t>
              </a:r>
              <a:endParaRPr lang="en-CA" sz="1400"/>
            </a:p>
          </xdr:txBody>
        </xdr:sp>
      </mc:Fallback>
    </mc:AlternateContent>
    <xdr:clientData/>
  </xdr:oneCellAnchor>
  <xdr:oneCellAnchor>
    <xdr:from>
      <xdr:col>1</xdr:col>
      <xdr:colOff>99060</xdr:colOff>
      <xdr:row>1</xdr:row>
      <xdr:rowOff>91440</xdr:rowOff>
    </xdr:from>
    <xdr:ext cx="2552700" cy="51054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708660" y="27432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𝒅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𝝈</m:t>
                          </m:r>
                        </m:e>
                        <m: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</m:num>
                    <m:den>
                      <m: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𝒅𝒕</m:t>
                      </m:r>
                    </m:den>
                  </m:f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=−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𝑲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𝒆𝒙𝒑</m:t>
                  </m:r>
                  <m:d>
                    <m:dPr>
                      <m:ctrlPr>
                        <a:rPr lang="en-CA" sz="14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𝑼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𝒐</m:t>
                              </m:r>
                            </m:sub>
                          </m:sSub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</m:t>
                          </m:r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𝝑</m:t>
                          </m:r>
                          <m:sSub>
                            <m:sSubPr>
                              <m:ctrlP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4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  <m:r>
                            <a:rPr lang="en-CA" sz="1400" b="1" i="0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   </m:t>
                          </m:r>
                        </m:num>
                        <m:den>
                          <m:r>
                            <a:rPr lang="en-CA" sz="14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𝒌𝑻</m:t>
                          </m:r>
                        </m:den>
                      </m:f>
                    </m:e>
                  </m:d>
                  <m:r>
                    <a:rPr lang="en-CA" sz="14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   </m:t>
                  </m:r>
                </m:oMath>
              </a14:m>
              <a:r>
                <a:rPr lang="en-CA" sz="1400" b="1"/>
                <a:t>(1)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708660" y="274320"/>
              <a:ext cx="2552700" cy="51054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4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〖𝒅𝝈〗_𝒊/𝒅𝒕=−𝑲 𝒆𝒙𝒑((−𝑼_𝒐+𝝑𝝈_𝒊     )/𝒌𝑻)      </a:t>
              </a:r>
              <a:r>
                <a:rPr lang="en-CA" sz="1400" b="1"/>
                <a:t>(1)</a:t>
              </a:r>
            </a:p>
          </xdr:txBody>
        </xdr:sp>
      </mc:Fallback>
    </mc:AlternateContent>
    <xdr:clientData/>
  </xdr:oneCellAnchor>
  <xdr:twoCellAnchor>
    <xdr:from>
      <xdr:col>12</xdr:col>
      <xdr:colOff>97972</xdr:colOff>
      <xdr:row>6</xdr:row>
      <xdr:rowOff>168729</xdr:rowOff>
    </xdr:from>
    <xdr:to>
      <xdr:col>18</xdr:col>
      <xdr:colOff>562792</xdr:colOff>
      <xdr:row>16</xdr:row>
      <xdr:rowOff>127363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90351</xdr:colOff>
      <xdr:row>17</xdr:row>
      <xdr:rowOff>28302</xdr:rowOff>
    </xdr:from>
    <xdr:to>
      <xdr:col>18</xdr:col>
      <xdr:colOff>547551</xdr:colOff>
      <xdr:row>28</xdr:row>
      <xdr:rowOff>8708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68580</xdr:colOff>
      <xdr:row>30</xdr:row>
      <xdr:rowOff>45720</xdr:rowOff>
    </xdr:from>
    <xdr:to>
      <xdr:col>18</xdr:col>
      <xdr:colOff>533400</xdr:colOff>
      <xdr:row>39</xdr:row>
      <xdr:rowOff>175260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</xdr:colOff>
      <xdr:row>40</xdr:row>
      <xdr:rowOff>106680</xdr:rowOff>
    </xdr:from>
    <xdr:to>
      <xdr:col>18</xdr:col>
      <xdr:colOff>495300</xdr:colOff>
      <xdr:row>51</xdr:row>
      <xdr:rowOff>106680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137160</xdr:colOff>
      <xdr:row>54</xdr:row>
      <xdr:rowOff>60960</xdr:rowOff>
    </xdr:from>
    <xdr:to>
      <xdr:col>18</xdr:col>
      <xdr:colOff>601980</xdr:colOff>
      <xdr:row>64</xdr:row>
      <xdr:rowOff>7620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106680</xdr:colOff>
      <xdr:row>64</xdr:row>
      <xdr:rowOff>121920</xdr:rowOff>
    </xdr:from>
    <xdr:to>
      <xdr:col>18</xdr:col>
      <xdr:colOff>563880</xdr:colOff>
      <xdr:row>75</xdr:row>
      <xdr:rowOff>121920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68037</xdr:colOff>
      <xdr:row>29</xdr:row>
      <xdr:rowOff>14085</xdr:rowOff>
    </xdr:from>
    <xdr:to>
      <xdr:col>21</xdr:col>
      <xdr:colOff>250373</xdr:colOff>
      <xdr:row>52</xdr:row>
      <xdr:rowOff>84842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23</xdr:col>
      <xdr:colOff>8709</xdr:colOff>
      <xdr:row>1</xdr:row>
      <xdr:rowOff>174171</xdr:rowOff>
    </xdr:from>
    <xdr:ext cx="4585062" cy="7315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5020109" y="359228"/>
              <a:ext cx="4585062" cy="7315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b>
                        <m:sSub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𝒅</m:t>
                          </m:r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𝝈</m:t>
                          </m:r>
                        </m:e>
                        <m:sub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</m:num>
                    <m:den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𝒅𝒕</m:t>
                      </m:r>
                    </m:den>
                  </m:f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=−</m:t>
                  </m:r>
                  <m:f>
                    <m:f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𝟔𝟒</m:t>
                      </m:r>
                    </m:num>
                    <m:den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𝟗</m:t>
                      </m:r>
                      <m:sSup>
                        <m:sSup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𝑴</m:t>
                          </m:r>
                        </m:e>
                        <m:sup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𝟑</m:t>
                          </m:r>
                        </m:sup>
                      </m:sSup>
                      <m:sSup>
                        <m:sSup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Cambria Math"/>
                              <a:cs typeface="+mn-cs"/>
                            </a:rPr>
                            <m:t>𝜶</m:t>
                          </m:r>
                        </m:e>
                        <m:sup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den>
                  </m:f>
                  <m:f>
                    <m:f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sSup>
                        <m:sSup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sSub>
                            <m:sSubPr>
                              <m:ctrlP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</m:e>
                        <m:sup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𝟐</m:t>
                          </m:r>
                        </m:sup>
                      </m:sSup>
                    </m:num>
                    <m:den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𝑬</m:t>
                      </m:r>
                    </m:den>
                  </m:f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𝒗</m:t>
                      </m:r>
                    </m:e>
                    <m:sub>
                      <m: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𝑫</m:t>
                      </m:r>
                    </m:sub>
                  </m:sSub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𝒆𝒙𝒑</m:t>
                  </m:r>
                  <m:d>
                    <m:d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sSub>
                            <m:sSubPr>
                              <m:ctrlP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𝑼</m:t>
                              </m:r>
                            </m:e>
                            <m:sub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𝒐</m:t>
                              </m:r>
                            </m:sub>
                          </m:sSub>
                        </m:num>
                        <m:den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𝒌𝑻</m:t>
                          </m:r>
                        </m:den>
                      </m:f>
                    </m:e>
                  </m:d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𝒔𝒊𝒏𝒉</m:t>
                  </m:r>
                  <m:d>
                    <m:dPr>
                      <m:ctrlPr>
                        <a:rPr lang="en-CA" sz="1600" b="1" i="1">
                          <a:solidFill>
                            <a:schemeClr val="dk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f>
                        <m:fPr>
                          <m:ctrlP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𝝑</m:t>
                          </m:r>
                          <m:sSub>
                            <m:sSubPr>
                              <m:ctrlP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𝝈</m:t>
                              </m:r>
                            </m:e>
                            <m:sub>
                              <m:r>
                                <a:rPr lang="en-CA" sz="1600" b="1" i="1">
                                  <a:solidFill>
                                    <a:schemeClr val="dk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𝒊</m:t>
                              </m:r>
                            </m:sub>
                          </m:sSub>
                        </m:num>
                        <m:den>
                          <m:r>
                            <a:rPr lang="en-CA" sz="1600" b="1" i="1">
                              <a:solidFill>
                                <a:schemeClr val="dk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𝒌𝑻</m:t>
                          </m:r>
                        </m:den>
                      </m:f>
                    </m:e>
                  </m:d>
                  <m:r>
                    <a:rPr lang="en-CA" sz="1600" b="1" i="1">
                      <a:solidFill>
                        <a:schemeClr val="dk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         </m:t>
                  </m:r>
                </m:oMath>
              </a14:m>
              <a:r>
                <a:rPr lang="en-CA" sz="1600" b="1"/>
                <a:t>(3)</a:t>
              </a: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5020109" y="359228"/>
              <a:ext cx="4585062" cy="731520"/>
            </a:xfrm>
            <a:prstGeom prst="rect">
              <a:avLst/>
            </a:prstGeom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〖𝒅𝝈〗_𝒊/𝒅𝒕=−𝟔𝟒/(𝟗𝑴^𝟑 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Cambria Math"/>
                  <a:cs typeface="+mn-cs"/>
                </a:rPr>
                <a:t>𝜶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^𝟐 )  〖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𝝈_𝒊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〗^𝟐/𝑬  𝒗_𝑫 𝒆𝒙𝒑((−𝑼_𝒐)/𝒌𝑻)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𝒔𝒊𝒏𝒉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((𝝑𝝈_𝒊)/𝒌𝑻)      </a:t>
              </a:r>
              <a:r>
                <a:rPr lang="en-CA" sz="1600" b="1" i="0">
                  <a:solidFill>
                    <a:schemeClr val="dk1"/>
                  </a:solidFill>
                  <a:effectLst/>
                  <a:latin typeface="Cambria Math"/>
                  <a:ea typeface="+mn-ea"/>
                  <a:cs typeface="+mn-cs"/>
                </a:rPr>
                <a:t>     </a:t>
              </a:r>
              <a:r>
                <a:rPr lang="en-CA" sz="1600" b="1"/>
                <a:t>(3)</a:t>
              </a:r>
            </a:p>
          </xdr:txBody>
        </xdr:sp>
      </mc:Fallback>
    </mc:AlternateContent>
    <xdr:clientData/>
  </xdr:oneCellAnchor>
  <xdr:twoCellAnchor>
    <xdr:from>
      <xdr:col>30</xdr:col>
      <xdr:colOff>201706</xdr:colOff>
      <xdr:row>8</xdr:row>
      <xdr:rowOff>145677</xdr:rowOff>
    </xdr:from>
    <xdr:to>
      <xdr:col>40</xdr:col>
      <xdr:colOff>532279</xdr:colOff>
      <xdr:row>28</xdr:row>
      <xdr:rowOff>116542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30</xdr:col>
      <xdr:colOff>145677</xdr:colOff>
      <xdr:row>31</xdr:row>
      <xdr:rowOff>156883</xdr:rowOff>
    </xdr:from>
    <xdr:to>
      <xdr:col>40</xdr:col>
      <xdr:colOff>476250</xdr:colOff>
      <xdr:row>51</xdr:row>
      <xdr:rowOff>94131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123265</xdr:colOff>
      <xdr:row>56</xdr:row>
      <xdr:rowOff>89647</xdr:rowOff>
    </xdr:from>
    <xdr:to>
      <xdr:col>40</xdr:col>
      <xdr:colOff>453838</xdr:colOff>
      <xdr:row>76</xdr:row>
      <xdr:rowOff>15689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dx.doi.org/10.1179/026708303225005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U35"/>
  <sheetViews>
    <sheetView workbookViewId="0"/>
  </sheetViews>
  <sheetFormatPr defaultRowHeight="15" x14ac:dyDescent="0.25"/>
  <cols>
    <col min="1" max="2" width="8.85546875" style="1"/>
    <col min="3" max="3" width="12" style="1" bestFit="1" customWidth="1"/>
    <col min="4" max="8" width="8.85546875" style="1"/>
    <col min="9" max="9" width="12" style="1" bestFit="1" customWidth="1"/>
    <col min="10" max="10" width="8.85546875" style="1"/>
    <col min="11" max="11" width="12" style="1" bestFit="1" customWidth="1"/>
    <col min="12" max="21" width="8.85546875" style="1"/>
  </cols>
  <sheetData>
    <row r="1" spans="2:12" thickBot="1" x14ac:dyDescent="0.35"/>
    <row r="2" spans="2:12" thickBot="1" x14ac:dyDescent="0.35">
      <c r="B2" s="123" t="s">
        <v>14</v>
      </c>
      <c r="C2" s="124"/>
      <c r="D2" s="3">
        <v>201</v>
      </c>
      <c r="E2" s="4" t="s">
        <v>6</v>
      </c>
      <c r="F2" s="2" t="s">
        <v>15</v>
      </c>
    </row>
    <row r="3" spans="2:12" ht="15.6" thickTop="1" thickBot="1" x14ac:dyDescent="0.35">
      <c r="B3" s="123" t="s">
        <v>24</v>
      </c>
      <c r="C3" s="124"/>
      <c r="D3" s="53">
        <v>1</v>
      </c>
      <c r="E3" s="4" t="s">
        <v>6</v>
      </c>
      <c r="F3" s="2" t="s">
        <v>16</v>
      </c>
    </row>
    <row r="4" spans="2:12" thickBot="1" x14ac:dyDescent="0.35"/>
    <row r="5" spans="2:12" thickBot="1" x14ac:dyDescent="0.35">
      <c r="B5" s="9" t="s">
        <v>4</v>
      </c>
      <c r="C5" s="5">
        <v>283</v>
      </c>
      <c r="D5" s="6" t="s">
        <v>8</v>
      </c>
      <c r="J5" s="15" t="s">
        <v>8</v>
      </c>
      <c r="K5" s="18">
        <v>201.23</v>
      </c>
      <c r="L5" s="12"/>
    </row>
    <row r="6" spans="2:12" ht="19.5" thickTop="1" thickBot="1" x14ac:dyDescent="0.3">
      <c r="B6" s="10" t="s">
        <v>5</v>
      </c>
      <c r="C6" s="7">
        <v>10</v>
      </c>
      <c r="D6" s="8" t="s">
        <v>8</v>
      </c>
      <c r="E6" s="2"/>
      <c r="F6" s="57" t="s">
        <v>29</v>
      </c>
      <c r="J6" s="16" t="s">
        <v>19</v>
      </c>
      <c r="K6" s="19">
        <v>101.13</v>
      </c>
      <c r="L6" s="13" t="s">
        <v>12</v>
      </c>
    </row>
    <row r="7" spans="2:12" ht="18" thickBot="1" x14ac:dyDescent="0.3">
      <c r="F7" s="57" t="s">
        <v>30</v>
      </c>
      <c r="J7" s="17" t="s">
        <v>20</v>
      </c>
      <c r="K7" s="20">
        <v>0.441</v>
      </c>
      <c r="L7" s="14" t="s">
        <v>33</v>
      </c>
    </row>
    <row r="8" spans="2:12" ht="15.6" thickTop="1" thickBot="1" x14ac:dyDescent="0.35">
      <c r="B8" s="125" t="s">
        <v>25</v>
      </c>
      <c r="C8" s="126"/>
      <c r="D8" s="53">
        <v>0</v>
      </c>
      <c r="E8" s="6" t="s">
        <v>27</v>
      </c>
    </row>
    <row r="9" spans="2:12" ht="15.6" thickTop="1" thickBot="1" x14ac:dyDescent="0.35">
      <c r="B9" s="127" t="s">
        <v>26</v>
      </c>
      <c r="C9" s="128"/>
      <c r="D9" s="53">
        <v>1</v>
      </c>
      <c r="E9" s="8" t="s">
        <v>28</v>
      </c>
    </row>
    <row r="10" spans="2:12" thickBot="1" x14ac:dyDescent="0.35"/>
    <row r="11" spans="2:12" thickBot="1" x14ac:dyDescent="0.35">
      <c r="B11" s="11" t="s">
        <v>9</v>
      </c>
      <c r="C11" s="21">
        <v>8.3144620999999995E-3</v>
      </c>
      <c r="D11" s="4" t="s">
        <v>11</v>
      </c>
      <c r="K11" s="45" t="s">
        <v>23</v>
      </c>
      <c r="L11" s="46">
        <f>SUM(L15:L35)</f>
        <v>1.1389905814998955E-4</v>
      </c>
    </row>
    <row r="12" spans="2:12" thickBot="1" x14ac:dyDescent="0.35"/>
    <row r="13" spans="2:12" ht="18" x14ac:dyDescent="0.25">
      <c r="B13" s="9" t="s">
        <v>0</v>
      </c>
      <c r="C13" s="22" t="s">
        <v>21</v>
      </c>
      <c r="D13" s="23" t="s">
        <v>22</v>
      </c>
      <c r="E13" s="9" t="s">
        <v>2</v>
      </c>
      <c r="F13" s="22" t="s">
        <v>3</v>
      </c>
      <c r="G13" s="23" t="s">
        <v>7</v>
      </c>
      <c r="I13" s="15" t="s">
        <v>17</v>
      </c>
      <c r="K13" s="9" t="s">
        <v>18</v>
      </c>
      <c r="L13" s="23" t="s">
        <v>10</v>
      </c>
    </row>
    <row r="14" spans="2:12" thickBot="1" x14ac:dyDescent="0.35">
      <c r="B14" s="24" t="s">
        <v>1</v>
      </c>
      <c r="C14" s="25" t="s">
        <v>8</v>
      </c>
      <c r="D14" s="26" t="s">
        <v>6</v>
      </c>
      <c r="E14" s="24" t="s">
        <v>6</v>
      </c>
      <c r="F14" s="25" t="s">
        <v>1</v>
      </c>
      <c r="G14" s="26" t="s">
        <v>13</v>
      </c>
      <c r="I14" s="16"/>
      <c r="K14" s="24" t="s">
        <v>13</v>
      </c>
      <c r="L14" s="26"/>
    </row>
    <row r="15" spans="2:12" ht="14.45" x14ac:dyDescent="0.3">
      <c r="B15" s="29">
        <f>D8+$D$9</f>
        <v>1</v>
      </c>
      <c r="C15" s="30">
        <f>C5+$C$6</f>
        <v>293</v>
      </c>
      <c r="D15" s="39">
        <f>D2-$D$3</f>
        <v>200</v>
      </c>
      <c r="E15" s="54">
        <f>D2-D15</f>
        <v>1</v>
      </c>
      <c r="F15" s="31">
        <f>B15</f>
        <v>1</v>
      </c>
      <c r="G15" s="32">
        <f>-E15/F15</f>
        <v>-1</v>
      </c>
      <c r="I15" s="50">
        <f t="shared" ref="I15:I35" si="0">$C$11*C15*LN((-1/$K$5)*G15)</f>
        <v>-12.922365431414537</v>
      </c>
      <c r="K15" s="42">
        <f t="shared" ref="K15:K35" si="1">(-$K$5)*EXP((-$K$6+$K$7*D15)/($C$11*C15))</f>
        <v>-0.99687102288796803</v>
      </c>
      <c r="L15" s="47">
        <f t="shared" ref="L15:L35" si="2">(K15-G15)^2</f>
        <v>9.7904977676199398E-6</v>
      </c>
    </row>
    <row r="16" spans="2:12" ht="14.45" x14ac:dyDescent="0.3">
      <c r="B16" s="33">
        <f>B15+$D$9</f>
        <v>2</v>
      </c>
      <c r="C16" s="27">
        <f>C15+$C$6</f>
        <v>303</v>
      </c>
      <c r="D16" s="40">
        <f>D15-$D$3</f>
        <v>199</v>
      </c>
      <c r="E16" s="55">
        <f t="shared" ref="E16:E35" si="3">D15-D16</f>
        <v>1</v>
      </c>
      <c r="F16" s="28">
        <f>B16-B15</f>
        <v>1</v>
      </c>
      <c r="G16" s="34">
        <f t="shared" ref="G16:G35" si="4">-E16/F16</f>
        <v>-1</v>
      </c>
      <c r="I16" s="51">
        <f t="shared" si="0"/>
        <v>-13.363401794261451</v>
      </c>
      <c r="K16" s="43">
        <f t="shared" si="1"/>
        <v>-0.99698852330596266</v>
      </c>
      <c r="L16" s="48">
        <f t="shared" si="2"/>
        <v>9.0689918787300699E-6</v>
      </c>
    </row>
    <row r="17" spans="2:12" ht="14.45" x14ac:dyDescent="0.3">
      <c r="B17" s="33">
        <f t="shared" ref="B17:B35" si="5">B16+$D$9</f>
        <v>3</v>
      </c>
      <c r="C17" s="27">
        <f t="shared" ref="C17:C35" si="6">C16+$C$6</f>
        <v>313</v>
      </c>
      <c r="D17" s="40">
        <f t="shared" ref="D17:D35" si="7">D16-$D$3</f>
        <v>198</v>
      </c>
      <c r="E17" s="55">
        <f t="shared" si="3"/>
        <v>1</v>
      </c>
      <c r="F17" s="28">
        <f t="shared" ref="F17:F35" si="8">B17-B16</f>
        <v>1</v>
      </c>
      <c r="G17" s="34">
        <f t="shared" si="4"/>
        <v>-1</v>
      </c>
      <c r="I17" s="51">
        <f t="shared" si="0"/>
        <v>-13.804438157108361</v>
      </c>
      <c r="K17" s="43">
        <f t="shared" si="1"/>
        <v>-0.99709852826050649</v>
      </c>
      <c r="L17" s="48">
        <f t="shared" si="2"/>
        <v>8.4185382550794995E-6</v>
      </c>
    </row>
    <row r="18" spans="2:12" ht="14.45" x14ac:dyDescent="0.3">
      <c r="B18" s="33">
        <f t="shared" si="5"/>
        <v>4</v>
      </c>
      <c r="C18" s="27">
        <f t="shared" si="6"/>
        <v>323</v>
      </c>
      <c r="D18" s="40">
        <f t="shared" si="7"/>
        <v>197</v>
      </c>
      <c r="E18" s="55">
        <f t="shared" si="3"/>
        <v>1</v>
      </c>
      <c r="F18" s="28">
        <f t="shared" si="8"/>
        <v>1</v>
      </c>
      <c r="G18" s="34">
        <f t="shared" si="4"/>
        <v>-1</v>
      </c>
      <c r="I18" s="51">
        <f t="shared" si="0"/>
        <v>-14.245474519955275</v>
      </c>
      <c r="K18" s="43">
        <f t="shared" si="1"/>
        <v>-0.99720173279630753</v>
      </c>
      <c r="L18" s="48">
        <f t="shared" si="2"/>
        <v>7.8302993432608905E-6</v>
      </c>
    </row>
    <row r="19" spans="2:12" ht="14.45" x14ac:dyDescent="0.3">
      <c r="B19" s="33">
        <f t="shared" si="5"/>
        <v>5</v>
      </c>
      <c r="C19" s="27">
        <f t="shared" si="6"/>
        <v>333</v>
      </c>
      <c r="D19" s="40">
        <f t="shared" si="7"/>
        <v>196</v>
      </c>
      <c r="E19" s="55">
        <f t="shared" si="3"/>
        <v>1</v>
      </c>
      <c r="F19" s="28">
        <f t="shared" si="8"/>
        <v>1</v>
      </c>
      <c r="G19" s="34">
        <f t="shared" si="4"/>
        <v>-1</v>
      </c>
      <c r="I19" s="51">
        <f t="shared" si="0"/>
        <v>-14.686510882802187</v>
      </c>
      <c r="K19" s="43">
        <f t="shared" si="1"/>
        <v>-0.99729874860055301</v>
      </c>
      <c r="L19" s="48">
        <f t="shared" si="2"/>
        <v>7.2967591230143278E-6</v>
      </c>
    </row>
    <row r="20" spans="2:12" ht="14.45" x14ac:dyDescent="0.3">
      <c r="B20" s="33">
        <f t="shared" si="5"/>
        <v>6</v>
      </c>
      <c r="C20" s="27">
        <f t="shared" si="6"/>
        <v>343</v>
      </c>
      <c r="D20" s="40">
        <f t="shared" si="7"/>
        <v>195</v>
      </c>
      <c r="E20" s="55">
        <f t="shared" si="3"/>
        <v>1</v>
      </c>
      <c r="F20" s="28">
        <f t="shared" si="8"/>
        <v>1</v>
      </c>
      <c r="G20" s="34">
        <f t="shared" si="4"/>
        <v>-1</v>
      </c>
      <c r="I20" s="51">
        <f t="shared" si="0"/>
        <v>-15.127547245649101</v>
      </c>
      <c r="K20" s="43">
        <f t="shared" si="1"/>
        <v>-0.99739011613557171</v>
      </c>
      <c r="L20" s="48">
        <f t="shared" si="2"/>
        <v>6.811493785803125E-6</v>
      </c>
    </row>
    <row r="21" spans="2:12" ht="14.45" x14ac:dyDescent="0.3">
      <c r="B21" s="33">
        <f t="shared" si="5"/>
        <v>7</v>
      </c>
      <c r="C21" s="27">
        <f t="shared" si="6"/>
        <v>353</v>
      </c>
      <c r="D21" s="40">
        <f t="shared" si="7"/>
        <v>194</v>
      </c>
      <c r="E21" s="55">
        <f t="shared" si="3"/>
        <v>1</v>
      </c>
      <c r="F21" s="28">
        <f t="shared" si="8"/>
        <v>1</v>
      </c>
      <c r="G21" s="34">
        <f t="shared" si="4"/>
        <v>-1</v>
      </c>
      <c r="I21" s="51">
        <f t="shared" si="0"/>
        <v>-15.568583608496011</v>
      </c>
      <c r="K21" s="43">
        <f t="shared" si="1"/>
        <v>-0.99747631471238341</v>
      </c>
      <c r="L21" s="48">
        <f t="shared" si="2"/>
        <v>6.3689874309324552E-6</v>
      </c>
    </row>
    <row r="22" spans="2:12" ht="14.45" x14ac:dyDescent="0.3">
      <c r="B22" s="33">
        <f t="shared" si="5"/>
        <v>8</v>
      </c>
      <c r="C22" s="27">
        <f t="shared" si="6"/>
        <v>363</v>
      </c>
      <c r="D22" s="40">
        <f t="shared" si="7"/>
        <v>193</v>
      </c>
      <c r="E22" s="55">
        <f t="shared" si="3"/>
        <v>1</v>
      </c>
      <c r="F22" s="28">
        <f t="shared" si="8"/>
        <v>1</v>
      </c>
      <c r="G22" s="34">
        <f t="shared" si="4"/>
        <v>-1</v>
      </c>
      <c r="I22" s="51">
        <f t="shared" si="0"/>
        <v>-16.009619971342925</v>
      </c>
      <c r="K22" s="43">
        <f t="shared" si="1"/>
        <v>-0.99755777090157549</v>
      </c>
      <c r="L22" s="48">
        <f t="shared" si="2"/>
        <v>5.9644829691913886E-6</v>
      </c>
    </row>
    <row r="23" spans="2:12" ht="14.45" x14ac:dyDescent="0.3">
      <c r="B23" s="33">
        <f t="shared" si="5"/>
        <v>9</v>
      </c>
      <c r="C23" s="27">
        <f t="shared" si="6"/>
        <v>373</v>
      </c>
      <c r="D23" s="40">
        <f t="shared" si="7"/>
        <v>192</v>
      </c>
      <c r="E23" s="55">
        <f t="shared" si="3"/>
        <v>1</v>
      </c>
      <c r="F23" s="28">
        <f t="shared" si="8"/>
        <v>1</v>
      </c>
      <c r="G23" s="34">
        <f t="shared" si="4"/>
        <v>-1</v>
      </c>
      <c r="I23" s="51">
        <f t="shared" si="0"/>
        <v>-16.450656334189837</v>
      </c>
      <c r="K23" s="43">
        <f t="shared" si="1"/>
        <v>-0.99763486559312697</v>
      </c>
      <c r="L23" s="48">
        <f t="shared" si="2"/>
        <v>5.5938607625746217E-6</v>
      </c>
    </row>
    <row r="24" spans="2:12" ht="14.45" x14ac:dyDescent="0.3">
      <c r="B24" s="33">
        <f t="shared" si="5"/>
        <v>10</v>
      </c>
      <c r="C24" s="27">
        <f t="shared" si="6"/>
        <v>383</v>
      </c>
      <c r="D24" s="40">
        <f t="shared" si="7"/>
        <v>191</v>
      </c>
      <c r="E24" s="55">
        <f t="shared" si="3"/>
        <v>1</v>
      </c>
      <c r="F24" s="28">
        <f t="shared" si="8"/>
        <v>1</v>
      </c>
      <c r="G24" s="34">
        <f t="shared" si="4"/>
        <v>-1</v>
      </c>
      <c r="I24" s="51">
        <f t="shared" si="0"/>
        <v>-16.891692697036749</v>
      </c>
      <c r="K24" s="43">
        <f t="shared" si="1"/>
        <v>-0.99770793995178586</v>
      </c>
      <c r="L24" s="48">
        <f t="shared" si="2"/>
        <v>5.2535392646194037E-6</v>
      </c>
    </row>
    <row r="25" spans="2:12" ht="14.45" x14ac:dyDescent="0.3">
      <c r="B25" s="33">
        <f t="shared" si="5"/>
        <v>11</v>
      </c>
      <c r="C25" s="27">
        <f t="shared" si="6"/>
        <v>393</v>
      </c>
      <c r="D25" s="40">
        <f t="shared" si="7"/>
        <v>190</v>
      </c>
      <c r="E25" s="55">
        <f t="shared" si="3"/>
        <v>1</v>
      </c>
      <c r="F25" s="28">
        <f t="shared" si="8"/>
        <v>1</v>
      </c>
      <c r="G25" s="34">
        <f t="shared" si="4"/>
        <v>-1</v>
      </c>
      <c r="I25" s="51">
        <f t="shared" si="0"/>
        <v>-17.332729059883661</v>
      </c>
      <c r="K25" s="43">
        <f t="shared" si="1"/>
        <v>-0.99777730046442736</v>
      </c>
      <c r="L25" s="48">
        <f t="shared" si="2"/>
        <v>4.9403932254348138E-6</v>
      </c>
    </row>
    <row r="26" spans="2:12" ht="14.45" x14ac:dyDescent="0.3">
      <c r="B26" s="33">
        <f t="shared" si="5"/>
        <v>12</v>
      </c>
      <c r="C26" s="27">
        <f t="shared" si="6"/>
        <v>403</v>
      </c>
      <c r="D26" s="40">
        <f t="shared" si="7"/>
        <v>189</v>
      </c>
      <c r="E26" s="55">
        <f t="shared" si="3"/>
        <v>1</v>
      </c>
      <c r="F26" s="28">
        <f t="shared" si="8"/>
        <v>1</v>
      </c>
      <c r="G26" s="34">
        <f t="shared" si="4"/>
        <v>-1</v>
      </c>
      <c r="I26" s="51">
        <f t="shared" si="0"/>
        <v>-17.773765422730573</v>
      </c>
      <c r="K26" s="43">
        <f t="shared" si="1"/>
        <v>-0.99784322323691343</v>
      </c>
      <c r="L26" s="48">
        <f t="shared" si="2"/>
        <v>4.6516860057901621E-6</v>
      </c>
    </row>
    <row r="27" spans="2:12" ht="14.45" x14ac:dyDescent="0.3">
      <c r="B27" s="33">
        <f t="shared" si="5"/>
        <v>13</v>
      </c>
      <c r="C27" s="27">
        <f t="shared" si="6"/>
        <v>413</v>
      </c>
      <c r="D27" s="40">
        <f t="shared" si="7"/>
        <v>188</v>
      </c>
      <c r="E27" s="55">
        <f t="shared" si="3"/>
        <v>1</v>
      </c>
      <c r="F27" s="28">
        <f t="shared" si="8"/>
        <v>1</v>
      </c>
      <c r="G27" s="34">
        <f t="shared" si="4"/>
        <v>-1</v>
      </c>
      <c r="I27" s="51">
        <f t="shared" si="0"/>
        <v>-18.214801785577489</v>
      </c>
      <c r="K27" s="43">
        <f t="shared" si="1"/>
        <v>-0.99790595766753931</v>
      </c>
      <c r="L27" s="48">
        <f t="shared" si="2"/>
        <v>4.3850132901373998E-6</v>
      </c>
    </row>
    <row r="28" spans="2:12" ht="14.45" x14ac:dyDescent="0.3">
      <c r="B28" s="33">
        <f t="shared" si="5"/>
        <v>14</v>
      </c>
      <c r="C28" s="27">
        <f t="shared" si="6"/>
        <v>423</v>
      </c>
      <c r="D28" s="40">
        <f t="shared" si="7"/>
        <v>187</v>
      </c>
      <c r="E28" s="55">
        <f t="shared" si="3"/>
        <v>1</v>
      </c>
      <c r="F28" s="28">
        <f t="shared" si="8"/>
        <v>1</v>
      </c>
      <c r="G28" s="34">
        <f t="shared" si="4"/>
        <v>-1</v>
      </c>
      <c r="I28" s="51">
        <f t="shared" si="0"/>
        <v>-18.655838148424401</v>
      </c>
      <c r="K28" s="43">
        <f t="shared" si="1"/>
        <v>-0.99796572960002705</v>
      </c>
      <c r="L28" s="48">
        <f t="shared" si="2"/>
        <v>4.1382560602060993E-6</v>
      </c>
    </row>
    <row r="29" spans="2:12" ht="14.45" x14ac:dyDescent="0.3">
      <c r="B29" s="33">
        <f t="shared" si="5"/>
        <v>15</v>
      </c>
      <c r="C29" s="27">
        <f t="shared" si="6"/>
        <v>433</v>
      </c>
      <c r="D29" s="40">
        <f t="shared" si="7"/>
        <v>186</v>
      </c>
      <c r="E29" s="55">
        <f t="shared" si="3"/>
        <v>1</v>
      </c>
      <c r="F29" s="28">
        <f t="shared" si="8"/>
        <v>1</v>
      </c>
      <c r="G29" s="34">
        <f t="shared" si="4"/>
        <v>-1</v>
      </c>
      <c r="I29" s="51">
        <f t="shared" si="0"/>
        <v>-19.096874511271313</v>
      </c>
      <c r="K29" s="43">
        <f t="shared" si="1"/>
        <v>-0.99802274404017233</v>
      </c>
      <c r="L29" s="48">
        <f t="shared" si="2"/>
        <v>3.9095411306740522E-6</v>
      </c>
    </row>
    <row r="30" spans="2:12" ht="14.45" x14ac:dyDescent="0.3">
      <c r="B30" s="33">
        <f t="shared" si="5"/>
        <v>16</v>
      </c>
      <c r="C30" s="27">
        <f t="shared" si="6"/>
        <v>443</v>
      </c>
      <c r="D30" s="40">
        <f t="shared" si="7"/>
        <v>185</v>
      </c>
      <c r="E30" s="55">
        <f t="shared" si="3"/>
        <v>1</v>
      </c>
      <c r="F30" s="28">
        <f t="shared" si="8"/>
        <v>1</v>
      </c>
      <c r="G30" s="34">
        <f t="shared" si="4"/>
        <v>-1</v>
      </c>
      <c r="I30" s="51">
        <f t="shared" si="0"/>
        <v>-19.537910874118225</v>
      </c>
      <c r="K30" s="43">
        <f t="shared" si="1"/>
        <v>-0.99807718750496799</v>
      </c>
      <c r="L30" s="48">
        <f t="shared" si="2"/>
        <v>3.6972078910512288E-6</v>
      </c>
    </row>
    <row r="31" spans="2:12" ht="14.45" x14ac:dyDescent="0.3">
      <c r="B31" s="33">
        <f t="shared" si="5"/>
        <v>17</v>
      </c>
      <c r="C31" s="27">
        <f t="shared" si="6"/>
        <v>453</v>
      </c>
      <c r="D31" s="40">
        <f t="shared" si="7"/>
        <v>184</v>
      </c>
      <c r="E31" s="55">
        <f t="shared" si="3"/>
        <v>1</v>
      </c>
      <c r="F31" s="28">
        <f t="shared" si="8"/>
        <v>1</v>
      </c>
      <c r="G31" s="34">
        <f t="shared" si="4"/>
        <v>-1</v>
      </c>
      <c r="I31" s="51">
        <f t="shared" si="0"/>
        <v>-19.978947236965137</v>
      </c>
      <c r="K31" s="43">
        <f t="shared" si="1"/>
        <v>-0.99812923006095688</v>
      </c>
      <c r="L31" s="48">
        <f t="shared" si="2"/>
        <v>3.4997801648273818E-6</v>
      </c>
    </row>
    <row r="32" spans="2:12" ht="14.45" x14ac:dyDescent="0.3">
      <c r="B32" s="33">
        <f t="shared" si="5"/>
        <v>18</v>
      </c>
      <c r="C32" s="27">
        <f t="shared" si="6"/>
        <v>463</v>
      </c>
      <c r="D32" s="40">
        <f t="shared" si="7"/>
        <v>183</v>
      </c>
      <c r="E32" s="55">
        <f t="shared" si="3"/>
        <v>1</v>
      </c>
      <c r="F32" s="28">
        <f t="shared" si="8"/>
        <v>1</v>
      </c>
      <c r="G32" s="34">
        <f t="shared" si="4"/>
        <v>-1</v>
      </c>
      <c r="I32" s="51">
        <f t="shared" si="0"/>
        <v>-20.419983599812049</v>
      </c>
      <c r="K32" s="43">
        <f t="shared" si="1"/>
        <v>-0.99817902709871298</v>
      </c>
      <c r="L32" s="48">
        <f t="shared" si="2"/>
        <v>3.3159423072216716E-6</v>
      </c>
    </row>
    <row r="33" spans="2:12" ht="14.45" x14ac:dyDescent="0.3">
      <c r="B33" s="33">
        <f t="shared" si="5"/>
        <v>19</v>
      </c>
      <c r="C33" s="27">
        <f t="shared" si="6"/>
        <v>473</v>
      </c>
      <c r="D33" s="40">
        <f t="shared" si="7"/>
        <v>182</v>
      </c>
      <c r="E33" s="55">
        <f t="shared" si="3"/>
        <v>1</v>
      </c>
      <c r="F33" s="28">
        <f t="shared" si="8"/>
        <v>1</v>
      </c>
      <c r="G33" s="34">
        <f t="shared" si="4"/>
        <v>-1</v>
      </c>
      <c r="I33" s="51">
        <f t="shared" si="0"/>
        <v>-20.861019962658965</v>
      </c>
      <c r="K33" s="43">
        <f t="shared" si="1"/>
        <v>-0.9982267208825174</v>
      </c>
      <c r="L33" s="48">
        <f t="shared" si="2"/>
        <v>3.1445188284998534E-6</v>
      </c>
    </row>
    <row r="34" spans="2:12" ht="14.45" x14ac:dyDescent="0.3">
      <c r="B34" s="33">
        <f t="shared" si="5"/>
        <v>20</v>
      </c>
      <c r="C34" s="27">
        <f t="shared" si="6"/>
        <v>483</v>
      </c>
      <c r="D34" s="40">
        <f t="shared" si="7"/>
        <v>181</v>
      </c>
      <c r="E34" s="55">
        <f t="shared" si="3"/>
        <v>1</v>
      </c>
      <c r="F34" s="28">
        <f t="shared" si="8"/>
        <v>1</v>
      </c>
      <c r="G34" s="34">
        <f t="shared" si="4"/>
        <v>-1</v>
      </c>
      <c r="I34" s="51">
        <f t="shared" si="0"/>
        <v>-21.302056325505877</v>
      </c>
      <c r="K34" s="43">
        <f t="shared" si="1"/>
        <v>-0.99827244190769715</v>
      </c>
      <c r="L34" s="48">
        <f t="shared" si="2"/>
        <v>2.9844569622810624E-6</v>
      </c>
    </row>
    <row r="35" spans="2:12" thickBot="1" x14ac:dyDescent="0.35">
      <c r="B35" s="35">
        <f t="shared" si="5"/>
        <v>21</v>
      </c>
      <c r="C35" s="36">
        <f t="shared" si="6"/>
        <v>493</v>
      </c>
      <c r="D35" s="41">
        <f t="shared" si="7"/>
        <v>180</v>
      </c>
      <c r="E35" s="56">
        <f t="shared" si="3"/>
        <v>1</v>
      </c>
      <c r="F35" s="37">
        <f t="shared" si="8"/>
        <v>1</v>
      </c>
      <c r="G35" s="38">
        <f t="shared" si="4"/>
        <v>-1</v>
      </c>
      <c r="I35" s="52">
        <f t="shared" si="0"/>
        <v>-21.743092688352789</v>
      </c>
      <c r="K35" s="44">
        <f t="shared" si="1"/>
        <v>-0.9983163100929684</v>
      </c>
      <c r="L35" s="49">
        <f t="shared" si="2"/>
        <v>2.8348117030400936E-6</v>
      </c>
    </row>
  </sheetData>
  <mergeCells count="4">
    <mergeCell ref="B2:C2"/>
    <mergeCell ref="B3:C3"/>
    <mergeCell ref="B8:C8"/>
    <mergeCell ref="B9:C9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AN72"/>
  <sheetViews>
    <sheetView tabSelected="1" zoomScale="85" zoomScaleNormal="85" workbookViewId="0"/>
  </sheetViews>
  <sheetFormatPr defaultRowHeight="15" x14ac:dyDescent="0.25"/>
  <cols>
    <col min="1" max="2" width="8.85546875" style="1"/>
    <col min="3" max="3" width="12" style="1" bestFit="1" customWidth="1"/>
    <col min="4" max="4" width="8.85546875" style="1"/>
    <col min="5" max="5" width="10" style="1" bestFit="1" customWidth="1"/>
    <col min="6" max="8" width="8.85546875" style="1"/>
    <col min="9" max="9" width="9.28515625" style="1" bestFit="1" customWidth="1"/>
    <col min="10" max="10" width="8.85546875" style="1"/>
    <col min="11" max="11" width="8.85546875" style="1" customWidth="1"/>
    <col min="12" max="14" width="8.85546875" style="1"/>
    <col min="15" max="15" width="12.85546875" style="1" bestFit="1" customWidth="1"/>
    <col min="16" max="21" width="8.85546875" style="1"/>
    <col min="22" max="22" width="15" style="1" bestFit="1" customWidth="1"/>
    <col min="23" max="26" width="8.85546875" style="1"/>
    <col min="27" max="40" width="9.140625" style="1"/>
  </cols>
  <sheetData>
    <row r="2" spans="2:30" x14ac:dyDescent="0.25">
      <c r="N2" s="62"/>
      <c r="O2" s="83" t="s">
        <v>36</v>
      </c>
    </row>
    <row r="3" spans="2:30" ht="15.75" x14ac:dyDescent="0.25">
      <c r="N3" s="106" t="s">
        <v>37</v>
      </c>
      <c r="Q3" s="96" t="s">
        <v>38</v>
      </c>
      <c r="R3" s="95"/>
      <c r="S3" s="95"/>
    </row>
    <row r="7" spans="2:30" ht="15.75" thickBot="1" x14ac:dyDescent="0.3"/>
    <row r="8" spans="2:30" ht="18.75" thickBot="1" x14ac:dyDescent="0.3">
      <c r="X8" s="15" t="s">
        <v>51</v>
      </c>
      <c r="Y8" s="133">
        <v>1.2E-8</v>
      </c>
      <c r="Z8" s="12"/>
    </row>
    <row r="9" spans="2:30" ht="15.75" thickBot="1" x14ac:dyDescent="0.3">
      <c r="J9" s="129" t="s">
        <v>46</v>
      </c>
      <c r="K9" s="130"/>
      <c r="L9" s="131"/>
      <c r="X9" s="16" t="s">
        <v>48</v>
      </c>
      <c r="Y9" s="117">
        <v>3</v>
      </c>
      <c r="Z9" s="13"/>
    </row>
    <row r="10" spans="2:30" ht="15.75" thickBot="1" x14ac:dyDescent="0.3">
      <c r="B10" s="58" t="s">
        <v>9</v>
      </c>
      <c r="C10" s="21">
        <f>1.3806488E-23</f>
        <v>1.3806488E-23</v>
      </c>
      <c r="D10" s="4" t="s">
        <v>43</v>
      </c>
      <c r="F10" s="15" t="s">
        <v>8</v>
      </c>
      <c r="G10" s="18">
        <v>220.18</v>
      </c>
      <c r="H10" s="12"/>
      <c r="X10" s="16" t="s">
        <v>49</v>
      </c>
      <c r="Y10" s="117">
        <v>0.3</v>
      </c>
      <c r="Z10" s="13"/>
    </row>
    <row r="11" spans="2:30" ht="18.75" thickBot="1" x14ac:dyDescent="0.3">
      <c r="F11" s="16" t="s">
        <v>19</v>
      </c>
      <c r="G11" s="88">
        <f>0.0000000000000000001</f>
        <v>9.9999999999999998E-20</v>
      </c>
      <c r="H11" s="13" t="s">
        <v>41</v>
      </c>
      <c r="J11" s="15" t="s">
        <v>19</v>
      </c>
      <c r="K11" s="99">
        <v>3.9999999999999998E-20</v>
      </c>
      <c r="L11" s="12" t="s">
        <v>44</v>
      </c>
      <c r="X11" s="109" t="s">
        <v>50</v>
      </c>
      <c r="Y11" s="132">
        <v>70000000000</v>
      </c>
      <c r="Z11" s="14" t="s">
        <v>53</v>
      </c>
    </row>
    <row r="12" spans="2:30" ht="18.75" thickBot="1" x14ac:dyDescent="0.3">
      <c r="B12" s="45" t="s">
        <v>40</v>
      </c>
      <c r="C12" s="98">
        <v>6.0221417899999999E+23</v>
      </c>
      <c r="D12" s="91" t="s">
        <v>39</v>
      </c>
      <c r="F12" s="17" t="s">
        <v>20</v>
      </c>
      <c r="G12" s="20">
        <f>6E-22</f>
        <v>5.9999999999999998E-22</v>
      </c>
      <c r="H12" s="92" t="s">
        <v>45</v>
      </c>
      <c r="J12" s="17" t="s">
        <v>20</v>
      </c>
      <c r="K12" s="100">
        <v>1.0000000000000001E-32</v>
      </c>
      <c r="L12" s="92" t="s">
        <v>42</v>
      </c>
    </row>
    <row r="13" spans="2:30" ht="15.75" thickBot="1" x14ac:dyDescent="0.3"/>
    <row r="14" spans="2:30" ht="15.75" thickBot="1" x14ac:dyDescent="0.3">
      <c r="B14" s="67" t="s">
        <v>35</v>
      </c>
      <c r="K14" s="45" t="s">
        <v>23</v>
      </c>
      <c r="L14" s="46">
        <f>SUM(L18:L25)</f>
        <v>3.7106468844435319</v>
      </c>
      <c r="O14" s="66"/>
      <c r="U14" s="113" t="s">
        <v>47</v>
      </c>
      <c r="V14" s="83"/>
    </row>
    <row r="15" spans="2:30" ht="15" customHeight="1" thickBot="1" x14ac:dyDescent="0.3">
      <c r="B15" s="68" t="s">
        <v>34</v>
      </c>
      <c r="C15" s="68">
        <v>200</v>
      </c>
      <c r="O15" s="66"/>
      <c r="AA15" s="134"/>
      <c r="AC15" s="1" t="s">
        <v>54</v>
      </c>
      <c r="AD15" s="1" t="s">
        <v>55</v>
      </c>
    </row>
    <row r="16" spans="2:30" ht="15.6" customHeight="1" x14ac:dyDescent="0.25">
      <c r="B16" s="59" t="s">
        <v>0</v>
      </c>
      <c r="C16" s="60" t="s">
        <v>21</v>
      </c>
      <c r="D16" s="23" t="s">
        <v>22</v>
      </c>
      <c r="E16" s="60" t="s">
        <v>2</v>
      </c>
      <c r="F16" s="60" t="s">
        <v>3</v>
      </c>
      <c r="G16" s="23" t="s">
        <v>7</v>
      </c>
      <c r="I16" s="15" t="s">
        <v>17</v>
      </c>
      <c r="K16" s="59" t="s">
        <v>18</v>
      </c>
      <c r="L16" s="23" t="s">
        <v>10</v>
      </c>
      <c r="O16" s="66"/>
      <c r="U16" s="15" t="s">
        <v>17</v>
      </c>
      <c r="V16" s="15" t="s">
        <v>22</v>
      </c>
      <c r="X16" s="15" t="s">
        <v>18</v>
      </c>
      <c r="Z16" s="134"/>
      <c r="AA16" s="134"/>
      <c r="AC16" s="15" t="s">
        <v>22</v>
      </c>
      <c r="AD16" s="23" t="s">
        <v>22</v>
      </c>
    </row>
    <row r="17" spans="1:30" ht="15.75" thickBot="1" x14ac:dyDescent="0.3">
      <c r="B17" s="24" t="s">
        <v>31</v>
      </c>
      <c r="C17" s="25" t="s">
        <v>8</v>
      </c>
      <c r="D17" s="26" t="s">
        <v>6</v>
      </c>
      <c r="E17" s="61" t="s">
        <v>6</v>
      </c>
      <c r="F17" s="61" t="s">
        <v>31</v>
      </c>
      <c r="G17" s="65" t="s">
        <v>32</v>
      </c>
      <c r="I17" s="16"/>
      <c r="K17" s="24" t="s">
        <v>32</v>
      </c>
      <c r="L17" s="26"/>
      <c r="O17" s="66"/>
      <c r="U17" s="109"/>
      <c r="V17" s="109" t="s">
        <v>6</v>
      </c>
      <c r="X17" s="16" t="s">
        <v>32</v>
      </c>
      <c r="Z17" s="89" t="s">
        <v>52</v>
      </c>
      <c r="AA17" s="134"/>
      <c r="AC17" s="16" t="s">
        <v>6</v>
      </c>
      <c r="AD17" s="26" t="s">
        <v>6</v>
      </c>
    </row>
    <row r="18" spans="1:30" x14ac:dyDescent="0.25">
      <c r="B18" s="29">
        <v>0</v>
      </c>
      <c r="C18" s="30">
        <f>$C$15+273</f>
        <v>473</v>
      </c>
      <c r="D18" s="39">
        <v>258</v>
      </c>
      <c r="E18" s="70">
        <v>0</v>
      </c>
      <c r="F18" s="71">
        <v>0</v>
      </c>
      <c r="G18" s="72"/>
      <c r="I18" s="50"/>
      <c r="K18" s="101">
        <f t="shared" ref="K18:K25" si="0">(-$G$10)*EXP((-$K$11+$K$12*(D18*10^6))/($C$10*C18))</f>
        <v>-0.48176730498104969</v>
      </c>
      <c r="L18" s="47"/>
      <c r="O18" s="66"/>
      <c r="U18" s="114">
        <f t="shared" ref="U18:U25" si="1">$C$10*C18*LN((-1/$G$10)*K18)</f>
        <v>-3.9997419999999996E-20</v>
      </c>
      <c r="V18" s="107">
        <f>(U18+$K$11)/$K$12/10^6</f>
        <v>258.00000000021942</v>
      </c>
      <c r="X18" s="118">
        <f>((-64*D18^2*$Y$8)/9*$Y$9^3*$Y$10^2*$Y$11)*EXP(-$K$11/($C$10*C18))*SINH(($K$12*D18)/($C$10*C18))</f>
        <v>-8.3488308144153789E-4</v>
      </c>
      <c r="Z18" s="135">
        <f>X18-K18</f>
        <v>0.48093242189960816</v>
      </c>
      <c r="AC18" s="137">
        <f>D18+(K18*E18)</f>
        <v>258</v>
      </c>
      <c r="AD18" s="140">
        <f>D18+(X18*E18)</f>
        <v>258</v>
      </c>
    </row>
    <row r="19" spans="1:30" x14ac:dyDescent="0.25">
      <c r="B19" s="33">
        <v>15.012879542386322</v>
      </c>
      <c r="C19" s="27">
        <f t="shared" ref="C19:C25" si="2">$C$15+273</f>
        <v>473</v>
      </c>
      <c r="D19" s="40">
        <v>226.1842</v>
      </c>
      <c r="E19" s="73">
        <f t="shared" ref="E19:E25" si="3">D19-D18</f>
        <v>-31.815799999999996</v>
      </c>
      <c r="F19" s="74">
        <f t="shared" ref="F19:F25" si="4">B19-B18</f>
        <v>15.012879542386322</v>
      </c>
      <c r="G19" s="75">
        <f>E19/F19</f>
        <v>-2.1192336826638405</v>
      </c>
      <c r="I19" s="93">
        <f t="shared" ref="I19:I25" si="5">$C$10*C19*LN((-1/$G$10)*G19)</f>
        <v>-3.0323519123139609E-20</v>
      </c>
      <c r="K19" s="102">
        <f t="shared" si="0"/>
        <v>-0.48174383432486328</v>
      </c>
      <c r="L19" s="48">
        <f t="shared" ref="L19:L25" si="6">(K19-G19)^2</f>
        <v>2.6813730034132068</v>
      </c>
      <c r="O19" s="66"/>
      <c r="U19" s="93">
        <f t="shared" si="1"/>
        <v>-3.9997738157999999E-20</v>
      </c>
      <c r="V19" s="107">
        <f t="shared" ref="V18:V25" si="7">(U19+$K$11)/$K$12/10^6</f>
        <v>226.18419999983857</v>
      </c>
      <c r="X19" s="119">
        <f t="shared" ref="X18:X25" si="8">((-64*D19^2*$Y$8)/9*$Y$9^3*$Y$10^2*$Y$11)*EXP(-$K$11/($C$10*C19))*SINH(($K$12*D19)/($C$10*C19))</f>
        <v>-5.6253990439661318E-4</v>
      </c>
      <c r="Z19" s="135">
        <f t="shared" ref="Z19:Z24" si="9">X19-K19</f>
        <v>0.4811812944204667</v>
      </c>
      <c r="AC19" s="138">
        <f t="shared" ref="AC19:AC25" si="10">D19+(K19*E19)</f>
        <v>241.51126548411298</v>
      </c>
      <c r="AD19" s="141">
        <f>D19+(X19*E19)</f>
        <v>226.20209765709029</v>
      </c>
    </row>
    <row r="20" spans="1:30" x14ac:dyDescent="0.25">
      <c r="B20" s="33">
        <v>40.273650789130926</v>
      </c>
      <c r="C20" s="27">
        <f t="shared" si="2"/>
        <v>473</v>
      </c>
      <c r="D20" s="40">
        <v>217.9915</v>
      </c>
      <c r="E20" s="73">
        <f t="shared" si="3"/>
        <v>-8.1927000000000021</v>
      </c>
      <c r="F20" s="74">
        <f t="shared" si="4"/>
        <v>25.260771246744604</v>
      </c>
      <c r="G20" s="75">
        <f t="shared" ref="G20:G25" si="11">E20/F20</f>
        <v>-0.32432501446509909</v>
      </c>
      <c r="I20" s="93">
        <f t="shared" si="5"/>
        <v>-4.2581625017114388E-20</v>
      </c>
      <c r="K20" s="102">
        <f t="shared" si="0"/>
        <v>-0.4817377907190199</v>
      </c>
      <c r="L20" s="48">
        <f t="shared" si="6"/>
        <v>2.4778782127966935E-2</v>
      </c>
      <c r="O20" s="66"/>
      <c r="U20" s="93">
        <f t="shared" si="1"/>
        <v>-3.9997820084999997E-20</v>
      </c>
      <c r="V20" s="107">
        <f t="shared" si="7"/>
        <v>217.99150000003948</v>
      </c>
      <c r="X20" s="119">
        <f t="shared" si="8"/>
        <v>-5.0359942060641686E-4</v>
      </c>
      <c r="Z20" s="135">
        <f t="shared" si="9"/>
        <v>0.48123419129841349</v>
      </c>
      <c r="AC20" s="138">
        <f t="shared" si="10"/>
        <v>221.93823319802371</v>
      </c>
      <c r="AD20" s="141">
        <f>D20+(X20*E20)</f>
        <v>217.99562583897321</v>
      </c>
    </row>
    <row r="21" spans="1:30" x14ac:dyDescent="0.25">
      <c r="B21" s="33">
        <v>90.771392940245661</v>
      </c>
      <c r="C21" s="27">
        <f t="shared" si="2"/>
        <v>473</v>
      </c>
      <c r="D21" s="40">
        <v>210.12010000000001</v>
      </c>
      <c r="E21" s="73">
        <f t="shared" si="3"/>
        <v>-7.8713999999999942</v>
      </c>
      <c r="F21" s="74">
        <f t="shared" si="4"/>
        <v>50.497742151114736</v>
      </c>
      <c r="G21" s="75">
        <f t="shared" si="11"/>
        <v>-0.15587627614012509</v>
      </c>
      <c r="I21" s="93">
        <f t="shared" si="5"/>
        <v>-4.7366392118788933E-20</v>
      </c>
      <c r="K21" s="102">
        <f t="shared" si="0"/>
        <v>-0.48173198420176144</v>
      </c>
      <c r="L21" s="48">
        <f t="shared" si="6"/>
        <v>0.10618194247635036</v>
      </c>
      <c r="O21" s="66"/>
      <c r="U21" s="93">
        <f t="shared" si="1"/>
        <v>-3.9997898799E-20</v>
      </c>
      <c r="V21" s="107">
        <f t="shared" si="7"/>
        <v>210.12009999975467</v>
      </c>
      <c r="X21" s="119">
        <f t="shared" si="8"/>
        <v>-4.5099252003134291E-4</v>
      </c>
      <c r="Z21" s="135">
        <f t="shared" si="9"/>
        <v>0.48128099168173011</v>
      </c>
      <c r="AC21" s="138">
        <f t="shared" si="10"/>
        <v>213.91200514044576</v>
      </c>
      <c r="AD21" s="141">
        <f>D21+(X21*E21)</f>
        <v>210.12364994252218</v>
      </c>
    </row>
    <row r="22" spans="1:30" x14ac:dyDescent="0.25">
      <c r="B22" s="33">
        <v>498.21867224617483</v>
      </c>
      <c r="C22" s="27">
        <f t="shared" si="2"/>
        <v>473</v>
      </c>
      <c r="D22" s="40">
        <v>202.73060000000001</v>
      </c>
      <c r="E22" s="73">
        <f t="shared" si="3"/>
        <v>-7.3894999999999982</v>
      </c>
      <c r="F22" s="74">
        <f t="shared" si="4"/>
        <v>407.44727930592916</v>
      </c>
      <c r="G22" s="75">
        <f t="shared" si="11"/>
        <v>-1.8136088704746606E-2</v>
      </c>
      <c r="I22" s="93">
        <f t="shared" si="5"/>
        <v>-6.1414467510364761E-20</v>
      </c>
      <c r="K22" s="102">
        <f t="shared" si="0"/>
        <v>-0.48172653323269182</v>
      </c>
      <c r="L22" s="48">
        <f t="shared" si="6"/>
        <v>0.21491610025761787</v>
      </c>
      <c r="O22" s="66"/>
      <c r="U22" s="93">
        <f t="shared" si="1"/>
        <v>-3.9997972693999997E-20</v>
      </c>
      <c r="V22" s="107">
        <f t="shared" si="7"/>
        <v>202.73060000009519</v>
      </c>
      <c r="X22" s="119">
        <f t="shared" si="8"/>
        <v>-4.0506475786510423E-4</v>
      </c>
      <c r="Z22" s="135">
        <f t="shared" si="9"/>
        <v>0.48132146847482671</v>
      </c>
      <c r="AC22" s="138">
        <f t="shared" si="10"/>
        <v>206.29031821732298</v>
      </c>
      <c r="AD22" s="141">
        <f>D22+(X22*E22)</f>
        <v>202.73359322602826</v>
      </c>
    </row>
    <row r="23" spans="1:30" x14ac:dyDescent="0.25">
      <c r="A23" s="63"/>
      <c r="B23" s="33">
        <v>999.83883203244352</v>
      </c>
      <c r="C23" s="27">
        <f t="shared" si="2"/>
        <v>473</v>
      </c>
      <c r="D23" s="40">
        <v>197.75069999999999</v>
      </c>
      <c r="E23" s="73">
        <f t="shared" si="3"/>
        <v>-4.9799000000000149</v>
      </c>
      <c r="F23" s="74">
        <f t="shared" si="4"/>
        <v>501.62015978626869</v>
      </c>
      <c r="G23" s="75">
        <f t="shared" si="11"/>
        <v>-9.9276313019832779E-3</v>
      </c>
      <c r="I23" s="93">
        <f t="shared" si="5"/>
        <v>-6.5349609784714369E-20</v>
      </c>
      <c r="J23" s="64"/>
      <c r="K23" s="102">
        <f t="shared" si="0"/>
        <v>-0.48172285977389323</v>
      </c>
      <c r="L23" s="48">
        <f t="shared" si="6"/>
        <v>0.22259073760886172</v>
      </c>
      <c r="U23" s="93">
        <f t="shared" si="1"/>
        <v>-3.9998022492999995E-20</v>
      </c>
      <c r="V23" s="107">
        <f t="shared" si="7"/>
        <v>197.75070000025264</v>
      </c>
      <c r="X23" s="119">
        <f t="shared" si="8"/>
        <v>-3.7594181250935897E-4</v>
      </c>
      <c r="Z23" s="135">
        <f t="shared" si="9"/>
        <v>0.48134691796138385</v>
      </c>
      <c r="AC23" s="138">
        <f t="shared" si="10"/>
        <v>200.14963166938801</v>
      </c>
      <c r="AD23" s="141">
        <f>D23+(X23*E23)</f>
        <v>197.7525721526321</v>
      </c>
    </row>
    <row r="24" spans="1:30" x14ac:dyDescent="0.25">
      <c r="A24" s="63"/>
      <c r="B24" s="33">
        <v>2555.5242121151618</v>
      </c>
      <c r="C24" s="27">
        <f t="shared" si="2"/>
        <v>473</v>
      </c>
      <c r="D24" s="40">
        <v>194.6985</v>
      </c>
      <c r="E24" s="73">
        <f t="shared" si="3"/>
        <v>-3.0521999999999991</v>
      </c>
      <c r="F24" s="74">
        <f t="shared" si="4"/>
        <v>1555.6853800827184</v>
      </c>
      <c r="G24" s="75">
        <f t="shared" si="11"/>
        <v>-1.9619648285424578E-3</v>
      </c>
      <c r="I24" s="93">
        <f t="shared" si="5"/>
        <v>-7.5937951778615009E-20</v>
      </c>
      <c r="J24" s="64"/>
      <c r="K24" s="102">
        <f t="shared" si="0"/>
        <v>-0.48172060831061159</v>
      </c>
      <c r="L24" s="48">
        <f t="shared" si="6"/>
        <v>0.23016835599575514</v>
      </c>
      <c r="U24" s="93">
        <f t="shared" si="1"/>
        <v>-3.9998053014999996E-20</v>
      </c>
      <c r="V24" s="107">
        <f t="shared" si="7"/>
        <v>194.69850000020352</v>
      </c>
      <c r="X24" s="119">
        <f t="shared" si="8"/>
        <v>-3.5880159036167714E-4</v>
      </c>
      <c r="Z24" s="135">
        <f t="shared" si="9"/>
        <v>0.48136180672024992</v>
      </c>
      <c r="AC24" s="138">
        <f t="shared" si="10"/>
        <v>196.16880764068566</v>
      </c>
      <c r="AD24" s="141">
        <f>D24+(X24*E24)</f>
        <v>194.69959513421409</v>
      </c>
    </row>
    <row r="25" spans="1:30" ht="15.75" thickBot="1" x14ac:dyDescent="0.3">
      <c r="A25" s="63"/>
      <c r="B25" s="82">
        <v>5178.3332990968693</v>
      </c>
      <c r="C25" s="36">
        <f t="shared" si="2"/>
        <v>473</v>
      </c>
      <c r="D25" s="41">
        <v>190.84309999999999</v>
      </c>
      <c r="E25" s="76">
        <f t="shared" si="3"/>
        <v>-3.855400000000003</v>
      </c>
      <c r="F25" s="77">
        <f t="shared" si="4"/>
        <v>2622.8090869817074</v>
      </c>
      <c r="G25" s="78">
        <f t="shared" si="11"/>
        <v>-1.4699506796496363E-3</v>
      </c>
      <c r="I25" s="94">
        <f t="shared" si="5"/>
        <v>-7.7823412970867728E-20</v>
      </c>
      <c r="K25" s="103">
        <f t="shared" si="0"/>
        <v>-0.48171776437979896</v>
      </c>
      <c r="L25" s="49">
        <f t="shared" si="6"/>
        <v>0.23063796256377336</v>
      </c>
      <c r="U25" s="94">
        <f t="shared" si="1"/>
        <v>-3.9998091568999998E-20</v>
      </c>
      <c r="V25" s="108">
        <f t="shared" si="7"/>
        <v>190.8431000000148</v>
      </c>
      <c r="X25" s="120">
        <f t="shared" si="8"/>
        <v>-3.3790602069027833E-4</v>
      </c>
      <c r="Z25" s="135">
        <f>X25-K25</f>
        <v>0.48137985835910868</v>
      </c>
      <c r="AC25" s="139">
        <f t="shared" si="10"/>
        <v>192.70031466878987</v>
      </c>
      <c r="AD25" s="142">
        <f>D25+(X25*E25)</f>
        <v>190.84440276287216</v>
      </c>
    </row>
    <row r="26" spans="1:30" x14ac:dyDescent="0.25">
      <c r="A26" s="63"/>
      <c r="B26" s="62"/>
      <c r="C26" s="62"/>
      <c r="D26" s="62"/>
      <c r="E26" s="63"/>
      <c r="F26" s="63"/>
      <c r="G26" s="63"/>
      <c r="H26" s="63"/>
      <c r="M26" s="63"/>
    </row>
    <row r="27" spans="1:30" x14ac:dyDescent="0.25">
      <c r="A27" s="63"/>
      <c r="D27" s="62"/>
      <c r="E27" s="63"/>
      <c r="F27" s="63"/>
      <c r="G27" s="63"/>
      <c r="H27" s="63"/>
      <c r="M27" s="63"/>
    </row>
    <row r="28" spans="1:30" x14ac:dyDescent="0.25">
      <c r="A28" s="63"/>
      <c r="G28" s="95"/>
      <c r="M28" s="63"/>
      <c r="X28" s="63"/>
      <c r="Y28" s="63"/>
      <c r="Z28" s="63"/>
      <c r="AA28" s="63"/>
    </row>
    <row r="29" spans="1:30" x14ac:dyDescent="0.25">
      <c r="A29" s="63"/>
      <c r="M29" s="63"/>
      <c r="X29" s="63"/>
      <c r="Y29" s="63"/>
      <c r="Z29" s="63"/>
      <c r="AA29" s="63"/>
    </row>
    <row r="30" spans="1:30" ht="15.75" thickBot="1" x14ac:dyDescent="0.3">
      <c r="A30" s="63"/>
      <c r="M30" s="63"/>
      <c r="X30" s="89"/>
      <c r="Y30" s="122"/>
      <c r="Z30" s="90"/>
      <c r="AA30" s="63"/>
    </row>
    <row r="31" spans="1:30" ht="15.75" thickBot="1" x14ac:dyDescent="0.3">
      <c r="A31" s="63"/>
      <c r="J31" s="129" t="s">
        <v>46</v>
      </c>
      <c r="K31" s="130"/>
      <c r="L31" s="131"/>
      <c r="M31" s="63"/>
      <c r="X31" s="89"/>
      <c r="Y31" s="122"/>
      <c r="Z31" s="90"/>
      <c r="AA31" s="63"/>
    </row>
    <row r="32" spans="1:30" ht="15.75" thickBot="1" x14ac:dyDescent="0.3">
      <c r="A32" s="63"/>
      <c r="B32" s="58" t="s">
        <v>9</v>
      </c>
      <c r="C32" s="21">
        <f>1.3806488E-23</f>
        <v>1.3806488E-23</v>
      </c>
      <c r="D32" s="4" t="s">
        <v>43</v>
      </c>
      <c r="F32" s="15" t="s">
        <v>8</v>
      </c>
      <c r="G32" s="18">
        <v>216.33</v>
      </c>
      <c r="H32" s="12"/>
      <c r="M32" s="63"/>
      <c r="X32" s="89"/>
      <c r="Y32" s="122"/>
      <c r="Z32" s="90"/>
      <c r="AA32" s="63"/>
    </row>
    <row r="33" spans="1:30" ht="18.75" thickBot="1" x14ac:dyDescent="0.3">
      <c r="A33" s="63"/>
      <c r="F33" s="16" t="s">
        <v>19</v>
      </c>
      <c r="G33" s="19">
        <f>0.0000000000000000002</f>
        <v>2E-19</v>
      </c>
      <c r="H33" s="13" t="s">
        <v>12</v>
      </c>
      <c r="J33" s="15" t="s">
        <v>19</v>
      </c>
      <c r="K33" s="99">
        <f>K11</f>
        <v>3.9999999999999998E-20</v>
      </c>
      <c r="L33" s="12" t="s">
        <v>44</v>
      </c>
      <c r="M33" s="63"/>
      <c r="X33" s="89"/>
      <c r="Y33" s="122"/>
      <c r="Z33" s="90"/>
      <c r="AA33" s="63"/>
    </row>
    <row r="34" spans="1:30" ht="18.75" thickBot="1" x14ac:dyDescent="0.3">
      <c r="A34" s="63"/>
      <c r="B34" s="45" t="s">
        <v>40</v>
      </c>
      <c r="C34" s="98">
        <v>6.0221417899999999E+23</v>
      </c>
      <c r="D34" s="91" t="s">
        <v>39</v>
      </c>
      <c r="F34" s="17" t="s">
        <v>20</v>
      </c>
      <c r="G34" s="20">
        <f>7E-22</f>
        <v>7.0000000000000001E-22</v>
      </c>
      <c r="H34" s="14" t="s">
        <v>33</v>
      </c>
      <c r="J34" s="17" t="s">
        <v>20</v>
      </c>
      <c r="K34" s="100">
        <f>K12</f>
        <v>1.0000000000000001E-32</v>
      </c>
      <c r="L34" s="92" t="s">
        <v>42</v>
      </c>
      <c r="M34" s="63"/>
      <c r="X34" s="63"/>
      <c r="Y34" s="63"/>
      <c r="Z34" s="63"/>
      <c r="AA34" s="63"/>
    </row>
    <row r="35" spans="1:30" ht="15.75" thickBot="1" x14ac:dyDescent="0.3">
      <c r="A35" s="63"/>
      <c r="M35" s="63"/>
    </row>
    <row r="36" spans="1:30" ht="15.75" thickBot="1" x14ac:dyDescent="0.3">
      <c r="A36" s="63"/>
      <c r="B36" s="67" t="s">
        <v>35</v>
      </c>
      <c r="K36" s="45" t="s">
        <v>23</v>
      </c>
      <c r="L36" s="46">
        <f>SUM(L40:L46)</f>
        <v>7.2137119032933992</v>
      </c>
      <c r="M36" s="63"/>
      <c r="U36" s="113" t="s">
        <v>47</v>
      </c>
      <c r="V36" s="83"/>
    </row>
    <row r="37" spans="1:30" ht="15.75" thickBot="1" x14ac:dyDescent="0.3">
      <c r="B37" s="68" t="s">
        <v>34</v>
      </c>
      <c r="C37" s="68">
        <v>225</v>
      </c>
      <c r="AA37" s="134"/>
      <c r="AC37" s="1" t="s">
        <v>54</v>
      </c>
      <c r="AD37" s="1" t="s">
        <v>55</v>
      </c>
    </row>
    <row r="38" spans="1:30" ht="18" x14ac:dyDescent="0.25">
      <c r="B38" s="59" t="s">
        <v>0</v>
      </c>
      <c r="C38" s="60" t="s">
        <v>21</v>
      </c>
      <c r="D38" s="23" t="s">
        <v>22</v>
      </c>
      <c r="E38" s="60" t="s">
        <v>2</v>
      </c>
      <c r="F38" s="60" t="s">
        <v>3</v>
      </c>
      <c r="G38" s="23" t="s">
        <v>7</v>
      </c>
      <c r="I38" s="15" t="s">
        <v>17</v>
      </c>
      <c r="K38" s="59" t="s">
        <v>18</v>
      </c>
      <c r="L38" s="23" t="s">
        <v>10</v>
      </c>
      <c r="U38" s="15" t="s">
        <v>17</v>
      </c>
      <c r="V38" s="15" t="s">
        <v>22</v>
      </c>
      <c r="X38" s="15" t="s">
        <v>18</v>
      </c>
      <c r="Z38" s="134"/>
      <c r="AA38" s="134"/>
      <c r="AC38" s="15" t="s">
        <v>22</v>
      </c>
      <c r="AD38" s="23" t="s">
        <v>22</v>
      </c>
    </row>
    <row r="39" spans="1:30" ht="15.75" thickBot="1" x14ac:dyDescent="0.3">
      <c r="A39" s="63"/>
      <c r="B39" s="24" t="s">
        <v>31</v>
      </c>
      <c r="C39" s="25" t="s">
        <v>8</v>
      </c>
      <c r="D39" s="26" t="s">
        <v>6</v>
      </c>
      <c r="E39" s="61" t="s">
        <v>6</v>
      </c>
      <c r="F39" s="61" t="s">
        <v>31</v>
      </c>
      <c r="G39" s="65" t="s">
        <v>32</v>
      </c>
      <c r="I39" s="16"/>
      <c r="K39" s="24" t="s">
        <v>32</v>
      </c>
      <c r="L39" s="26"/>
      <c r="M39" s="63"/>
      <c r="U39" s="109"/>
      <c r="V39" s="109" t="s">
        <v>6</v>
      </c>
      <c r="X39" s="16" t="s">
        <v>32</v>
      </c>
      <c r="Z39" s="89" t="s">
        <v>52</v>
      </c>
      <c r="AA39" s="134"/>
      <c r="AC39" s="16" t="s">
        <v>6</v>
      </c>
      <c r="AD39" s="26" t="s">
        <v>6</v>
      </c>
    </row>
    <row r="40" spans="1:30" x14ac:dyDescent="0.25">
      <c r="B40" s="29">
        <v>0</v>
      </c>
      <c r="C40" s="30">
        <f>$C$37+273</f>
        <v>498</v>
      </c>
      <c r="D40" s="39">
        <v>258</v>
      </c>
      <c r="E40" s="79">
        <v>0</v>
      </c>
      <c r="F40" s="80">
        <v>0</v>
      </c>
      <c r="G40" s="81"/>
      <c r="I40" s="105"/>
      <c r="K40" s="110">
        <f t="shared" ref="K40:K46" si="12">(-$G$32)*EXP((-$K$33+$K$34*(D40*10^6))/($C$32*C40))</f>
        <v>-0.64373534926039411</v>
      </c>
      <c r="L40" s="47"/>
      <c r="U40" s="114">
        <f>$C$32*C40*LN((-1/$G$32)*K40)</f>
        <v>-3.9997419999999996E-20</v>
      </c>
      <c r="V40" s="107">
        <f t="shared" ref="V40:V46" si="13">(U40+$K$11)/$K$12/10^6</f>
        <v>258.00000000021942</v>
      </c>
      <c r="X40" s="118">
        <f>((-64*D40^2*$Y$8)/9*$Y$9^3*$Y$10^2*$Y$11)*EXP(-$K$33/($C$32*C40))*SINH(($K$34*D40)/($C$32*C40))</f>
        <v>-1.0784430685151329E-3</v>
      </c>
      <c r="Z40" s="135">
        <f>X40-K40</f>
        <v>0.64265690619187898</v>
      </c>
      <c r="AC40" s="137">
        <f>D40+(K40*E40)</f>
        <v>258</v>
      </c>
      <c r="AD40" s="140">
        <f>D40+(X40*E40)</f>
        <v>258</v>
      </c>
    </row>
    <row r="41" spans="1:30" x14ac:dyDescent="0.25">
      <c r="B41" s="33">
        <v>15.012879542386322</v>
      </c>
      <c r="C41" s="27">
        <f t="shared" ref="C41:C46" si="14">$C$37+273</f>
        <v>498</v>
      </c>
      <c r="D41" s="40">
        <v>213.17230000000001</v>
      </c>
      <c r="E41" s="73">
        <f t="shared" ref="E41:E46" si="15">D41-D40</f>
        <v>-44.827699999999993</v>
      </c>
      <c r="F41" s="74">
        <f t="shared" ref="F41:F46" si="16">B41-B40</f>
        <v>15.012879542386322</v>
      </c>
      <c r="G41" s="75">
        <f>E41/F41</f>
        <v>-2.9859494891327527</v>
      </c>
      <c r="I41" s="93">
        <f t="shared" ref="I41:I46" si="17">$C$10*C41*LN((-1/$G$10)*G41)</f>
        <v>-2.956884105876885E-20</v>
      </c>
      <c r="K41" s="102">
        <f t="shared" si="12"/>
        <v>-0.64369338040790391</v>
      </c>
      <c r="L41" s="48">
        <f t="shared" ref="L41:L46" si="18">(K41-G41)^2</f>
        <v>5.4861636788588699</v>
      </c>
      <c r="U41" s="93">
        <f t="shared" ref="U41:U46" si="19">$C$32*C41*LN((-1/$G$32)*K41)</f>
        <v>-3.9997868277E-20</v>
      </c>
      <c r="V41" s="107">
        <f t="shared" si="13"/>
        <v>213.17229999980378</v>
      </c>
      <c r="X41" s="119">
        <f t="shared" ref="X41:X45" si="20">((-64*D41^2*$Y$8)/9*$Y$9^3*$Y$10^2*$Y$11)*EXP(-$K$33/($C$32*C41))*SINH(($K$34*D41)/($C$32*C41))</f>
        <v>-6.0831765153030229E-4</v>
      </c>
      <c r="Z41" s="135">
        <f t="shared" ref="Z41:Z46" si="21">X41-K41</f>
        <v>0.64308506275637356</v>
      </c>
      <c r="AC41" s="138">
        <f t="shared" ref="AC41:AC47" si="22">D41+(K41*E41)</f>
        <v>242.02759374891139</v>
      </c>
      <c r="AD41" s="141">
        <f>D41+(X41*E41)</f>
        <v>213.19956948118752</v>
      </c>
    </row>
    <row r="42" spans="1:30" x14ac:dyDescent="0.25">
      <c r="B42" s="33">
        <v>39.885863624040397</v>
      </c>
      <c r="C42" s="27">
        <f t="shared" si="14"/>
        <v>498</v>
      </c>
      <c r="D42" s="40">
        <v>209.3169</v>
      </c>
      <c r="E42" s="73">
        <f t="shared" si="15"/>
        <v>-3.855400000000003</v>
      </c>
      <c r="F42" s="74">
        <f t="shared" si="16"/>
        <v>24.872984081654074</v>
      </c>
      <c r="G42" s="75">
        <f t="shared" ref="G42:G46" si="23">E42/F42</f>
        <v>-0.15500351656010933</v>
      </c>
      <c r="I42" s="93">
        <f t="shared" si="17"/>
        <v>-4.9908506418055841E-20</v>
      </c>
      <c r="K42" s="102">
        <f t="shared" si="12"/>
        <v>-0.64368977101046543</v>
      </c>
      <c r="L42" s="48">
        <f t="shared" si="18"/>
        <v>0.23881425528871816</v>
      </c>
      <c r="U42" s="93">
        <f t="shared" si="19"/>
        <v>-3.9997906830999996E-20</v>
      </c>
      <c r="V42" s="107">
        <f t="shared" si="13"/>
        <v>209.31690000021689</v>
      </c>
      <c r="X42" s="119">
        <f t="shared" si="20"/>
        <v>-5.7590518433612648E-4</v>
      </c>
      <c r="Z42" s="135">
        <f t="shared" si="21"/>
        <v>0.64311386582612928</v>
      </c>
      <c r="AC42" s="138">
        <f t="shared" si="22"/>
        <v>211.79858154315374</v>
      </c>
      <c r="AD42" s="141">
        <f>D42+(X42*E42)</f>
        <v>209.3191203448477</v>
      </c>
    </row>
    <row r="43" spans="1:30" x14ac:dyDescent="0.25">
      <c r="B43" s="33">
        <v>90.771392940245661</v>
      </c>
      <c r="C43" s="27">
        <f t="shared" si="14"/>
        <v>498</v>
      </c>
      <c r="D43" s="40">
        <v>203.85509999999999</v>
      </c>
      <c r="E43" s="73">
        <f t="shared" si="15"/>
        <v>-5.4618000000000109</v>
      </c>
      <c r="F43" s="74">
        <f t="shared" si="16"/>
        <v>50.885529316205265</v>
      </c>
      <c r="G43" s="75">
        <f t="shared" si="23"/>
        <v>-0.10733503362144683</v>
      </c>
      <c r="I43" s="93">
        <f t="shared" si="17"/>
        <v>-5.2435250669912262E-20</v>
      </c>
      <c r="K43" s="102">
        <f t="shared" si="12"/>
        <v>-0.64368465774767425</v>
      </c>
      <c r="L43" s="48">
        <f t="shared" si="18"/>
        <v>0.28767091930034544</v>
      </c>
      <c r="U43" s="93">
        <f t="shared" si="19"/>
        <v>-3.9997961449E-20</v>
      </c>
      <c r="V43" s="107">
        <f t="shared" si="13"/>
        <v>203.855099999749</v>
      </c>
      <c r="X43" s="119">
        <f t="shared" si="20"/>
        <v>-5.3198924025981342E-4</v>
      </c>
      <c r="Z43" s="135">
        <f t="shared" si="21"/>
        <v>0.64315266850741448</v>
      </c>
      <c r="AC43" s="138">
        <f t="shared" si="22"/>
        <v>207.37077686368625</v>
      </c>
      <c r="AD43" s="141">
        <f>D43+(X43*E43)</f>
        <v>203.85800561883244</v>
      </c>
    </row>
    <row r="44" spans="1:30" x14ac:dyDescent="0.25">
      <c r="B44" s="33">
        <v>493.42369366558108</v>
      </c>
      <c r="C44" s="27">
        <f t="shared" si="14"/>
        <v>498</v>
      </c>
      <c r="D44" s="40">
        <v>195.82300000000001</v>
      </c>
      <c r="E44" s="73">
        <f t="shared" si="15"/>
        <v>-8.0320999999999856</v>
      </c>
      <c r="F44" s="74">
        <f t="shared" si="16"/>
        <v>402.65230072533541</v>
      </c>
      <c r="G44" s="75">
        <f t="shared" si="23"/>
        <v>-1.994797989613125E-2</v>
      </c>
      <c r="I44" s="93">
        <f t="shared" si="17"/>
        <v>-6.4005749698539089E-20</v>
      </c>
      <c r="K44" s="102">
        <f t="shared" si="12"/>
        <v>-0.64367713827881023</v>
      </c>
      <c r="L44" s="48">
        <f t="shared" si="18"/>
        <v>0.38903806301676502</v>
      </c>
      <c r="U44" s="93">
        <f t="shared" si="19"/>
        <v>-3.9998041769999999E-20</v>
      </c>
      <c r="V44" s="107">
        <f t="shared" si="13"/>
        <v>195.82299999985736</v>
      </c>
      <c r="X44" s="119">
        <f t="shared" si="20"/>
        <v>-4.7155158018031483E-4</v>
      </c>
      <c r="Z44" s="135">
        <f t="shared" si="21"/>
        <v>0.64320558669862993</v>
      </c>
      <c r="AC44" s="138">
        <f t="shared" si="22"/>
        <v>200.99307914236923</v>
      </c>
      <c r="AD44" s="141">
        <f>D44+(X44*E44)</f>
        <v>195.82678754944718</v>
      </c>
    </row>
    <row r="45" spans="1:30" x14ac:dyDescent="0.25">
      <c r="B45" s="33">
        <v>1009.5550370813455</v>
      </c>
      <c r="C45" s="27">
        <f t="shared" si="14"/>
        <v>498</v>
      </c>
      <c r="D45" s="84">
        <v>190.84309999999999</v>
      </c>
      <c r="E45" s="73">
        <f t="shared" si="15"/>
        <v>-4.9799000000000149</v>
      </c>
      <c r="F45" s="74">
        <f t="shared" si="16"/>
        <v>516.13134341576438</v>
      </c>
      <c r="G45" s="75">
        <f t="shared" si="23"/>
        <v>-9.6485130452317967E-3</v>
      </c>
      <c r="H45" s="63"/>
      <c r="I45" s="93">
        <f t="shared" si="17"/>
        <v>-6.8999685973115E-20</v>
      </c>
      <c r="K45" s="102">
        <f t="shared" si="12"/>
        <v>-0.64367247625410096</v>
      </c>
      <c r="L45" s="48">
        <f t="shared" si="18"/>
        <v>0.40198638592308139</v>
      </c>
      <c r="U45" s="93">
        <f t="shared" si="19"/>
        <v>-3.9998091568999998E-20</v>
      </c>
      <c r="V45" s="107">
        <f t="shared" si="13"/>
        <v>190.8431000000148</v>
      </c>
      <c r="X45" s="119">
        <f t="shared" si="20"/>
        <v>-4.3648316024533012E-4</v>
      </c>
      <c r="Z45" s="135">
        <f t="shared" si="21"/>
        <v>0.6432359930938556</v>
      </c>
      <c r="AC45" s="138">
        <f t="shared" si="22"/>
        <v>194.0485245644978</v>
      </c>
      <c r="AD45" s="141">
        <f>D45+(X45*E45)</f>
        <v>190.8452736424897</v>
      </c>
    </row>
    <row r="46" spans="1:30" ht="15.75" thickBot="1" x14ac:dyDescent="0.3">
      <c r="B46" s="82">
        <v>2555.5242121151618</v>
      </c>
      <c r="C46" s="36">
        <f t="shared" si="14"/>
        <v>498</v>
      </c>
      <c r="D46" s="85">
        <v>185.70259999999999</v>
      </c>
      <c r="E46" s="76">
        <f t="shared" si="15"/>
        <v>-5.140500000000003</v>
      </c>
      <c r="F46" s="77">
        <f t="shared" si="16"/>
        <v>1545.9691750338163</v>
      </c>
      <c r="G46" s="78">
        <f t="shared" si="23"/>
        <v>-3.3250986391029176E-3</v>
      </c>
      <c r="I46" s="94">
        <f t="shared" si="17"/>
        <v>-7.6324326473752284E-20</v>
      </c>
      <c r="K46" s="103">
        <f t="shared" si="12"/>
        <v>-0.64366766391617358</v>
      </c>
      <c r="L46" s="49">
        <f t="shared" si="18"/>
        <v>0.4100386009056195</v>
      </c>
      <c r="U46" s="94">
        <f t="shared" si="19"/>
        <v>-3.9998142973999995E-20</v>
      </c>
      <c r="V46" s="108">
        <f t="shared" si="13"/>
        <v>185.70260000026485</v>
      </c>
      <c r="X46" s="120">
        <f>((-64*D46^2*$Y$8)/9*$Y$9^3*$Y$10^2*$Y$11)*EXP(-$K$33/($C$32*C46))*SINH(($K$34*D46)/($C$32*C46))</f>
        <v>-4.0215369041875194E-4</v>
      </c>
      <c r="Z46" s="135">
        <f t="shared" si="21"/>
        <v>0.64326551022575484</v>
      </c>
      <c r="AC46" s="139">
        <f t="shared" si="22"/>
        <v>189.01137362636109</v>
      </c>
      <c r="AD46" s="142">
        <f>D46+(X46*E46)</f>
        <v>185.70466727104559</v>
      </c>
    </row>
    <row r="47" spans="1:30" x14ac:dyDescent="0.25">
      <c r="B47" s="69"/>
      <c r="C47" s="62"/>
      <c r="D47" s="62"/>
      <c r="K47" s="104"/>
      <c r="T47" s="63"/>
      <c r="U47" s="115"/>
      <c r="V47" s="116"/>
      <c r="W47" s="63"/>
      <c r="X47" s="121"/>
      <c r="Y47" s="63"/>
      <c r="Z47" s="136"/>
      <c r="AA47" s="63"/>
      <c r="AC47" s="143"/>
      <c r="AD47" s="144"/>
    </row>
    <row r="48" spans="1:30" x14ac:dyDescent="0.25">
      <c r="T48" s="63"/>
      <c r="U48" s="63"/>
      <c r="V48" s="63"/>
      <c r="W48" s="63"/>
      <c r="X48" s="63"/>
      <c r="Y48" s="63"/>
      <c r="Z48" s="63"/>
      <c r="AA48" s="63"/>
    </row>
    <row r="56" spans="2:30" ht="15.75" thickBot="1" x14ac:dyDescent="0.3"/>
    <row r="57" spans="2:30" ht="15.75" thickBot="1" x14ac:dyDescent="0.3">
      <c r="J57" s="129" t="s">
        <v>46</v>
      </c>
      <c r="K57" s="130"/>
      <c r="L57" s="131"/>
    </row>
    <row r="58" spans="2:30" ht="15.75" thickBot="1" x14ac:dyDescent="0.3">
      <c r="B58" s="58" t="s">
        <v>9</v>
      </c>
      <c r="C58" s="21">
        <f>1.3806488E-23</f>
        <v>1.3806488E-23</v>
      </c>
      <c r="D58" s="4" t="s">
        <v>43</v>
      </c>
      <c r="F58" s="15" t="s">
        <v>8</v>
      </c>
      <c r="G58" s="18">
        <v>210.66</v>
      </c>
      <c r="H58" s="12"/>
    </row>
    <row r="59" spans="2:30" ht="18.75" thickBot="1" x14ac:dyDescent="0.3">
      <c r="F59" s="16" t="s">
        <v>19</v>
      </c>
      <c r="G59" s="88">
        <v>2E-19</v>
      </c>
      <c r="H59" s="13" t="s">
        <v>12</v>
      </c>
      <c r="J59" s="15" t="s">
        <v>19</v>
      </c>
      <c r="K59" s="99">
        <f>K33</f>
        <v>3.9999999999999998E-20</v>
      </c>
      <c r="L59" s="12" t="s">
        <v>44</v>
      </c>
    </row>
    <row r="60" spans="2:30" ht="18.75" thickBot="1" x14ac:dyDescent="0.3">
      <c r="B60" s="45" t="s">
        <v>40</v>
      </c>
      <c r="C60" s="98">
        <v>6.0221417899999999E+23</v>
      </c>
      <c r="D60" s="91" t="s">
        <v>39</v>
      </c>
      <c r="F60" s="17" t="s">
        <v>20</v>
      </c>
      <c r="G60" s="97">
        <v>9.9999999999999991E-22</v>
      </c>
      <c r="H60" s="14" t="s">
        <v>33</v>
      </c>
      <c r="J60" s="17" t="s">
        <v>20</v>
      </c>
      <c r="K60" s="100">
        <f>K34</f>
        <v>1.0000000000000001E-32</v>
      </c>
      <c r="L60" s="92" t="s">
        <v>42</v>
      </c>
    </row>
    <row r="61" spans="2:30" ht="15.75" thickBot="1" x14ac:dyDescent="0.3"/>
    <row r="62" spans="2:30" ht="15.75" thickBot="1" x14ac:dyDescent="0.3">
      <c r="B62" s="67" t="s">
        <v>35</v>
      </c>
      <c r="K62" s="45" t="s">
        <v>23</v>
      </c>
      <c r="L62" s="46">
        <f>SUM(L66:L72)</f>
        <v>9.5522896582860639</v>
      </c>
      <c r="U62" s="113" t="s">
        <v>47</v>
      </c>
      <c r="V62" s="83"/>
    </row>
    <row r="63" spans="2:30" ht="15.75" thickBot="1" x14ac:dyDescent="0.3">
      <c r="B63" s="68" t="s">
        <v>34</v>
      </c>
      <c r="C63" s="68">
        <v>250</v>
      </c>
      <c r="AC63" s="1" t="s">
        <v>54</v>
      </c>
      <c r="AD63" s="1" t="s">
        <v>55</v>
      </c>
    </row>
    <row r="64" spans="2:30" ht="18" x14ac:dyDescent="0.25">
      <c r="B64" s="59" t="s">
        <v>0</v>
      </c>
      <c r="C64" s="60" t="s">
        <v>21</v>
      </c>
      <c r="D64" s="23" t="s">
        <v>22</v>
      </c>
      <c r="E64" s="60" t="s">
        <v>2</v>
      </c>
      <c r="F64" s="60" t="s">
        <v>3</v>
      </c>
      <c r="G64" s="23" t="s">
        <v>7</v>
      </c>
      <c r="I64" s="15" t="s">
        <v>17</v>
      </c>
      <c r="K64" s="59" t="s">
        <v>18</v>
      </c>
      <c r="L64" s="23" t="s">
        <v>10</v>
      </c>
      <c r="U64" s="15" t="s">
        <v>17</v>
      </c>
      <c r="V64" s="15" t="s">
        <v>22</v>
      </c>
      <c r="X64" s="15" t="s">
        <v>18</v>
      </c>
      <c r="Z64" s="134"/>
      <c r="AC64" s="15" t="s">
        <v>22</v>
      </c>
      <c r="AD64" s="23" t="s">
        <v>22</v>
      </c>
    </row>
    <row r="65" spans="2:30" ht="15.75" thickBot="1" x14ac:dyDescent="0.3">
      <c r="B65" s="24" t="s">
        <v>31</v>
      </c>
      <c r="C65" s="25" t="s">
        <v>8</v>
      </c>
      <c r="D65" s="26" t="s">
        <v>6</v>
      </c>
      <c r="E65" s="61" t="s">
        <v>6</v>
      </c>
      <c r="F65" s="61" t="s">
        <v>31</v>
      </c>
      <c r="G65" s="65" t="s">
        <v>32</v>
      </c>
      <c r="I65" s="16"/>
      <c r="K65" s="24" t="s">
        <v>32</v>
      </c>
      <c r="L65" s="26"/>
      <c r="U65" s="109"/>
      <c r="V65" s="109" t="s">
        <v>6</v>
      </c>
      <c r="X65" s="16" t="s">
        <v>32</v>
      </c>
      <c r="Z65" s="89" t="s">
        <v>52</v>
      </c>
      <c r="AC65" s="16" t="s">
        <v>6</v>
      </c>
      <c r="AD65" s="26" t="s">
        <v>6</v>
      </c>
    </row>
    <row r="66" spans="2:30" x14ac:dyDescent="0.25">
      <c r="B66" s="29">
        <v>0</v>
      </c>
      <c r="C66" s="30">
        <f>$C$63+273</f>
        <v>523</v>
      </c>
      <c r="D66" s="86">
        <v>258</v>
      </c>
      <c r="E66" s="79">
        <v>0</v>
      </c>
      <c r="F66" s="80">
        <v>0</v>
      </c>
      <c r="G66" s="81"/>
      <c r="I66" s="50"/>
      <c r="K66" s="110">
        <f>(-$G$58)*EXP((-$K$59+$K$60*(D66*10^6))/($C$32*C66))</f>
        <v>-0.8278238890415327</v>
      </c>
      <c r="L66" s="47"/>
      <c r="U66" s="114">
        <f>$C$58*C66*LN((-1/$G$58)*K66)</f>
        <v>-3.9997419999999996E-20</v>
      </c>
      <c r="V66" s="107">
        <f t="shared" ref="V66:V72" si="24">(U66+$K$11)/$K$12/10^6</f>
        <v>258.00000000021942</v>
      </c>
      <c r="X66" s="118">
        <f>((-64*D66^2*$Y$8)/9*$Y$9^3*$Y$10^2*$Y$11)*EXP(-$K$59/($C$58*C66))*SINH(($K$60*D66)/($C$58*C66))</f>
        <v>-1.3561194177774954E-3</v>
      </c>
      <c r="Z66" s="135">
        <f>X66-K66</f>
        <v>0.82646776962375523</v>
      </c>
      <c r="AC66" s="137">
        <f>D66+(K66*E66)</f>
        <v>258</v>
      </c>
      <c r="AD66" s="140">
        <f>D66+(X66*E66)</f>
        <v>258</v>
      </c>
    </row>
    <row r="67" spans="2:30" x14ac:dyDescent="0.25">
      <c r="B67" s="33">
        <v>15.012879542386322</v>
      </c>
      <c r="C67" s="27">
        <f t="shared" ref="C67:C72" si="25">$C$63+273</f>
        <v>523</v>
      </c>
      <c r="D67" s="87">
        <v>206.90729999999999</v>
      </c>
      <c r="E67" s="73">
        <f t="shared" ref="E67:E72" si="26">D67-D66</f>
        <v>-51.092700000000008</v>
      </c>
      <c r="F67" s="74">
        <f t="shared" ref="F67:F72" si="27">B67-B66</f>
        <v>15.012879542386322</v>
      </c>
      <c r="G67" s="75">
        <f>E67/F67</f>
        <v>-3.4032578397600823</v>
      </c>
      <c r="I67" s="93">
        <f t="shared" ref="I67:I72" si="28">$C$10*C67*LN((-1/$G$10)*G67)</f>
        <v>-3.0108629835366032E-20</v>
      </c>
      <c r="K67" s="111">
        <f t="shared" ref="K67:K72" si="29">(-$G$58)*EXP((-$K$59+$K$60*(D67*10^6))/($C$32*C67))</f>
        <v>-0.82776531616738547</v>
      </c>
      <c r="L67" s="48">
        <f t="shared" ref="L67:L72" si="30">(K67-G67)^2</f>
        <v>6.6331617390818787</v>
      </c>
      <c r="U67" s="93">
        <f t="shared" ref="U67:U72" si="31">$C$58*C67*LN((-1/$G$58)*K67)</f>
        <v>-3.9997930927E-20</v>
      </c>
      <c r="V67" s="107">
        <f t="shared" si="24"/>
        <v>206.90729999979811</v>
      </c>
      <c r="X67" s="119">
        <f t="shared" ref="X67:X72" si="32">((-64*D67^2*$Y$8)/9*$Y$9^3*$Y$10^2*$Y$11)*EXP(-$K$59/($C$58*C67))*SINH(($K$60*D67)/($C$58*C67))</f>
        <v>-6.9946543337093628E-4</v>
      </c>
      <c r="Z67" s="135">
        <f t="shared" ref="Z67:Z72" si="33">X67-K67</f>
        <v>0.82706585073401451</v>
      </c>
      <c r="AC67" s="138">
        <f t="shared" ref="AC67:AC72" si="34">D67+(K67*E67)</f>
        <v>249.20006496934536</v>
      </c>
      <c r="AD67" s="141">
        <f>D67+(X67*E67)</f>
        <v>206.94303757754759</v>
      </c>
    </row>
    <row r="68" spans="2:30" x14ac:dyDescent="0.25">
      <c r="B68" s="33">
        <v>40.273650789130926</v>
      </c>
      <c r="C68" s="27">
        <f t="shared" si="25"/>
        <v>523</v>
      </c>
      <c r="D68" s="87">
        <v>200.96350000000001</v>
      </c>
      <c r="E68" s="73">
        <f t="shared" si="26"/>
        <v>-5.9437999999999818</v>
      </c>
      <c r="F68" s="74">
        <f t="shared" si="27"/>
        <v>25.260771246744604</v>
      </c>
      <c r="G68" s="75">
        <f t="shared" ref="G68:G72" si="35">E68/F68</f>
        <v>-0.23529764558419683</v>
      </c>
      <c r="I68" s="93">
        <f t="shared" si="28"/>
        <v>-4.9399969267480801E-20</v>
      </c>
      <c r="K68" s="111">
        <f t="shared" si="29"/>
        <v>-0.82775850244057825</v>
      </c>
      <c r="L68" s="48">
        <f t="shared" si="30"/>
        <v>0.35100986690699765</v>
      </c>
      <c r="U68" s="93">
        <f t="shared" si="31"/>
        <v>-3.9997990364999996E-20</v>
      </c>
      <c r="V68" s="107">
        <f t="shared" si="24"/>
        <v>200.96350000020919</v>
      </c>
      <c r="X68" s="119">
        <f t="shared" si="32"/>
        <v>-6.4090015134447094E-4</v>
      </c>
      <c r="Z68" s="135">
        <f t="shared" si="33"/>
        <v>0.82711760228923381</v>
      </c>
      <c r="AC68" s="138">
        <f t="shared" si="34"/>
        <v>205.88353098680631</v>
      </c>
      <c r="AD68" s="141">
        <f>D68+(X68*E68)</f>
        <v>200.96730938231957</v>
      </c>
    </row>
    <row r="69" spans="2:30" x14ac:dyDescent="0.25">
      <c r="B69" s="33">
        <v>90.771392940245661</v>
      </c>
      <c r="C69" s="27">
        <f t="shared" si="25"/>
        <v>523</v>
      </c>
      <c r="D69" s="87">
        <v>196.62619999999998</v>
      </c>
      <c r="E69" s="73">
        <f t="shared" si="26"/>
        <v>-4.3373000000000275</v>
      </c>
      <c r="F69" s="74">
        <f t="shared" si="27"/>
        <v>50.497742151114736</v>
      </c>
      <c r="G69" s="75">
        <f t="shared" si="35"/>
        <v>-8.5890968887690794E-2</v>
      </c>
      <c r="I69" s="93">
        <f t="shared" si="28"/>
        <v>-5.6676886838910109E-20</v>
      </c>
      <c r="K69" s="111">
        <f t="shared" si="29"/>
        <v>-0.82775353037440913</v>
      </c>
      <c r="L69" s="48">
        <f t="shared" si="30"/>
        <v>0.55036006013563499</v>
      </c>
      <c r="U69" s="93">
        <f t="shared" si="31"/>
        <v>-3.9998033737999998E-20</v>
      </c>
      <c r="V69" s="107">
        <f t="shared" si="24"/>
        <v>196.62619999999697</v>
      </c>
      <c r="X69" s="119">
        <f t="shared" si="32"/>
        <v>-6.0029257964805871E-4</v>
      </c>
      <c r="Z69" s="135">
        <f t="shared" si="33"/>
        <v>0.82715323779476102</v>
      </c>
      <c r="AC69" s="138">
        <f t="shared" si="34"/>
        <v>200.21641538729293</v>
      </c>
      <c r="AD69" s="141">
        <f>D69+(X69*E69)</f>
        <v>196.6288036490057</v>
      </c>
    </row>
    <row r="70" spans="2:30" x14ac:dyDescent="0.25">
      <c r="B70" s="33">
        <v>493.42369366558108</v>
      </c>
      <c r="C70" s="27">
        <f t="shared" si="25"/>
        <v>523</v>
      </c>
      <c r="D70" s="40">
        <v>189.71860000000001</v>
      </c>
      <c r="E70" s="73">
        <f t="shared" si="26"/>
        <v>-6.9075999999999738</v>
      </c>
      <c r="F70" s="74">
        <f t="shared" si="27"/>
        <v>402.65230072533541</v>
      </c>
      <c r="G70" s="75">
        <f t="shared" si="35"/>
        <v>-1.7155247809478961E-2</v>
      </c>
      <c r="I70" s="93">
        <f t="shared" si="28"/>
        <v>-6.8307956915905636E-20</v>
      </c>
      <c r="K70" s="111">
        <f t="shared" si="29"/>
        <v>-0.82774561190512108</v>
      </c>
      <c r="L70" s="48">
        <f t="shared" si="30"/>
        <v>0.65705673836470568</v>
      </c>
      <c r="U70" s="93">
        <f t="shared" si="31"/>
        <v>-3.9998102814E-20</v>
      </c>
      <c r="V70" s="107">
        <f t="shared" si="24"/>
        <v>189.71859999975914</v>
      </c>
      <c r="X70" s="119">
        <f t="shared" si="32"/>
        <v>-5.3922317613712108E-4</v>
      </c>
      <c r="Z70" s="135">
        <f t="shared" si="33"/>
        <v>0.827206388728984</v>
      </c>
      <c r="AC70" s="138">
        <f t="shared" si="34"/>
        <v>195.4363355887958</v>
      </c>
      <c r="AD70" s="141">
        <f>D70+(X70*E70)</f>
        <v>189.72232473801148</v>
      </c>
    </row>
    <row r="71" spans="2:30" x14ac:dyDescent="0.25">
      <c r="B71" s="33">
        <v>1009.5550370813455</v>
      </c>
      <c r="C71" s="27">
        <f t="shared" si="25"/>
        <v>523</v>
      </c>
      <c r="D71" s="40">
        <v>188.75479999999999</v>
      </c>
      <c r="E71" s="73">
        <f t="shared" si="26"/>
        <v>-0.96380000000002042</v>
      </c>
      <c r="F71" s="74">
        <f t="shared" si="27"/>
        <v>516.13134341576438</v>
      </c>
      <c r="G71" s="75">
        <f t="shared" si="35"/>
        <v>-1.8673541382346181E-3</v>
      </c>
      <c r="I71" s="93">
        <f t="shared" si="28"/>
        <v>-8.4322099207120685E-20</v>
      </c>
      <c r="K71" s="111">
        <f t="shared" si="29"/>
        <v>-0.82774450706710212</v>
      </c>
      <c r="L71" s="48">
        <f t="shared" si="30"/>
        <v>0.68207307172989207</v>
      </c>
      <c r="U71" s="93">
        <f t="shared" si="31"/>
        <v>-3.9998112452000001E-20</v>
      </c>
      <c r="V71" s="107">
        <f t="shared" si="24"/>
        <v>188.75479999971211</v>
      </c>
      <c r="X71" s="119">
        <f t="shared" si="32"/>
        <v>-5.310468413802931E-4</v>
      </c>
      <c r="Z71" s="135">
        <f t="shared" si="33"/>
        <v>0.82721346022572184</v>
      </c>
      <c r="AC71" s="138">
        <f t="shared" si="34"/>
        <v>189.55258015591127</v>
      </c>
      <c r="AD71" s="141">
        <f>D71+(X71*E71)</f>
        <v>188.75531182294571</v>
      </c>
    </row>
    <row r="72" spans="2:30" ht="15.75" thickBot="1" x14ac:dyDescent="0.3">
      <c r="B72" s="35">
        <v>2555.5242121151618</v>
      </c>
      <c r="C72" s="36">
        <f t="shared" si="25"/>
        <v>523</v>
      </c>
      <c r="D72" s="41">
        <v>182.65039999999999</v>
      </c>
      <c r="E72" s="76">
        <f t="shared" si="26"/>
        <v>-6.1043999999999983</v>
      </c>
      <c r="F72" s="77">
        <f t="shared" si="27"/>
        <v>1545.9691750338163</v>
      </c>
      <c r="G72" s="78">
        <f t="shared" si="35"/>
        <v>-3.9485910188775085E-3</v>
      </c>
      <c r="I72" s="94">
        <f t="shared" si="28"/>
        <v>-7.8914907259159931E-20</v>
      </c>
      <c r="K72" s="112">
        <f t="shared" si="29"/>
        <v>-0.82773750941178426</v>
      </c>
      <c r="L72" s="49">
        <f t="shared" si="30"/>
        <v>0.6786281820669553</v>
      </c>
      <c r="U72" s="94">
        <f t="shared" si="31"/>
        <v>-3.9998173495999996E-20</v>
      </c>
      <c r="V72" s="108">
        <f t="shared" si="24"/>
        <v>182.65040000021577</v>
      </c>
      <c r="X72" s="120">
        <f t="shared" si="32"/>
        <v>-4.8117239031764776E-4</v>
      </c>
      <c r="Z72" s="135">
        <f t="shared" si="33"/>
        <v>0.82725633702146661</v>
      </c>
      <c r="AC72" s="139">
        <f t="shared" si="34"/>
        <v>187.70324085245329</v>
      </c>
      <c r="AD72" s="142">
        <f>D72+(X72*E72)</f>
        <v>182.65333726873945</v>
      </c>
    </row>
  </sheetData>
  <mergeCells count="3">
    <mergeCell ref="J9:L9"/>
    <mergeCell ref="J31:L31"/>
    <mergeCell ref="J57:L57"/>
  </mergeCells>
  <hyperlinks>
    <hyperlink ref="Q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Recovery Model - 1st Edit</vt:lpstr>
      <vt:lpstr>Recovery - 2nd Edit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Ohashi, Adam </cp:lastModifiedBy>
  <dcterms:created xsi:type="dcterms:W3CDTF">2011-09-29T04:29:37Z</dcterms:created>
  <dcterms:modified xsi:type="dcterms:W3CDTF">2011-10-05T19:51:21Z</dcterms:modified>
</cp:coreProperties>
</file>