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loud\SkyDrive\Documents\Term 1 2013\466\"/>
    </mc:Choice>
  </mc:AlternateContent>
  <bookViews>
    <workbookView xWindow="0" yWindow="0" windowWidth="11520" windowHeight="8535" activeTab="1"/>
  </bookViews>
  <sheets>
    <sheet name="Inside hinges" sheetId="1" r:id="rId1"/>
    <sheet name="Calculator &quot;app&quot;" sheetId="2" r:id="rId2"/>
    <sheet name="Stupid maths" sheetId="3" r:id="rId3"/>
    <sheet name="Corner hinges" sheetId="5" r:id="rId4"/>
    <sheet name="Calculator &quot;app&quot; 2" sheetId="4" r:id="rId5"/>
  </sheets>
  <definedNames>
    <definedName name="solver_eng" localSheetId="3" hidden="1">1</definedName>
    <definedName name="solver_eng" localSheetId="0" hidden="1">1</definedName>
    <definedName name="solver_neg" localSheetId="3" hidden="1">1</definedName>
    <definedName name="solver_neg" localSheetId="0" hidden="1">1</definedName>
    <definedName name="solver_num" localSheetId="3" hidden="1">0</definedName>
    <definedName name="solver_num" localSheetId="0" hidden="1">0</definedName>
    <definedName name="solver_opt" localSheetId="3" hidden="1">'Corner hinges'!$B$17</definedName>
    <definedName name="solver_opt" localSheetId="0" hidden="1">'Inside hinges'!$B$17</definedName>
    <definedName name="solver_typ" localSheetId="3" hidden="1">1</definedName>
    <definedName name="solver_typ" localSheetId="0" hidden="1">1</definedName>
    <definedName name="solver_val" localSheetId="3" hidden="1">0</definedName>
    <definedName name="solver_val" localSheetId="0" hidden="1">0</definedName>
    <definedName name="solver_ver" localSheetId="3" hidden="1">3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44" i="5" l="1"/>
  <c r="C48" i="5"/>
  <c r="C47" i="5"/>
  <c r="C46" i="5"/>
  <c r="C43" i="5"/>
  <c r="C42" i="5"/>
  <c r="C41" i="5"/>
  <c r="C28" i="5"/>
  <c r="C29" i="5"/>
  <c r="C30" i="5"/>
  <c r="C31" i="5"/>
  <c r="C32" i="5"/>
  <c r="C33" i="5"/>
  <c r="C34" i="5"/>
  <c r="C35" i="5"/>
  <c r="C36" i="5"/>
  <c r="C27" i="5"/>
  <c r="C19" i="5"/>
  <c r="C20" i="5"/>
  <c r="C21" i="5"/>
  <c r="C22" i="5"/>
  <c r="C23" i="5"/>
  <c r="C24" i="5"/>
  <c r="C25" i="5"/>
  <c r="C26" i="5"/>
  <c r="C18" i="5"/>
  <c r="C17" i="5"/>
  <c r="C10" i="5"/>
  <c r="C9" i="5"/>
  <c r="C7" i="5"/>
  <c r="C6" i="5"/>
  <c r="E48" i="5" l="1"/>
  <c r="F48" i="5"/>
  <c r="J48" i="5" s="1"/>
  <c r="K48" i="5" s="1"/>
  <c r="E47" i="5"/>
  <c r="F46" i="5"/>
  <c r="E46" i="5"/>
  <c r="J46" i="5" s="1"/>
  <c r="K46" i="5" s="1"/>
  <c r="F44" i="5"/>
  <c r="J44" i="5" s="1"/>
  <c r="K44" i="5" s="1"/>
  <c r="F43" i="5"/>
  <c r="J43" i="5" s="1"/>
  <c r="K43" i="5" s="1"/>
  <c r="F42" i="5"/>
  <c r="J42" i="5" s="1"/>
  <c r="K42" i="5" s="1"/>
  <c r="F41" i="5"/>
  <c r="J41" i="5" s="1"/>
  <c r="K41" i="5" s="1"/>
  <c r="F36" i="5"/>
  <c r="J36" i="5" s="1"/>
  <c r="K36" i="5" s="1"/>
  <c r="F35" i="5"/>
  <c r="J35" i="5" s="1"/>
  <c r="K35" i="5" s="1"/>
  <c r="F34" i="5"/>
  <c r="J34" i="5" s="1"/>
  <c r="K34" i="5" s="1"/>
  <c r="F33" i="5"/>
  <c r="J33" i="5" s="1"/>
  <c r="K33" i="5" s="1"/>
  <c r="F32" i="5"/>
  <c r="J32" i="5" s="1"/>
  <c r="K32" i="5" s="1"/>
  <c r="F31" i="5"/>
  <c r="J31" i="5" s="1"/>
  <c r="K31" i="5" s="1"/>
  <c r="E31" i="5"/>
  <c r="E30" i="5"/>
  <c r="F30" i="5"/>
  <c r="J30" i="5" s="1"/>
  <c r="K30" i="5" s="1"/>
  <c r="E29" i="5"/>
  <c r="F28" i="5"/>
  <c r="E28" i="5"/>
  <c r="F27" i="5"/>
  <c r="J27" i="5" s="1"/>
  <c r="K27" i="5" s="1"/>
  <c r="E27" i="5"/>
  <c r="F26" i="5"/>
  <c r="J26" i="5" s="1"/>
  <c r="K26" i="5" s="1"/>
  <c r="F25" i="5"/>
  <c r="J25" i="5" s="1"/>
  <c r="K25" i="5" s="1"/>
  <c r="F24" i="5"/>
  <c r="J24" i="5" s="1"/>
  <c r="K24" i="5" s="1"/>
  <c r="K23" i="5"/>
  <c r="J23" i="5"/>
  <c r="F23" i="5"/>
  <c r="J22" i="5"/>
  <c r="K22" i="5" s="1"/>
  <c r="F22" i="5"/>
  <c r="E21" i="5"/>
  <c r="F21" i="5"/>
  <c r="J21" i="5" s="1"/>
  <c r="K21" i="5" s="1"/>
  <c r="E20" i="5"/>
  <c r="F19" i="5"/>
  <c r="E19" i="5"/>
  <c r="F18" i="5"/>
  <c r="J18" i="5" s="1"/>
  <c r="K18" i="5" s="1"/>
  <c r="E18" i="5"/>
  <c r="E17" i="5"/>
  <c r="F17" i="5"/>
  <c r="J17" i="5" s="1"/>
  <c r="K17" i="5" s="1"/>
  <c r="K15" i="5"/>
  <c r="J15" i="5"/>
  <c r="C15" i="5"/>
  <c r="K14" i="5"/>
  <c r="J14" i="5"/>
  <c r="C14" i="5"/>
  <c r="J13" i="5"/>
  <c r="K13" i="5" s="1"/>
  <c r="E13" i="5"/>
  <c r="C13" i="5" s="1"/>
  <c r="J12" i="5"/>
  <c r="K12" i="5" s="1"/>
  <c r="E12" i="5"/>
  <c r="C12" i="5"/>
  <c r="D10" i="5"/>
  <c r="J10" i="5" s="1"/>
  <c r="K10" i="5" s="1"/>
  <c r="E9" i="5"/>
  <c r="D9" i="5"/>
  <c r="J9" i="5" s="1"/>
  <c r="K9" i="5" s="1"/>
  <c r="F7" i="5"/>
  <c r="J7" i="5" s="1"/>
  <c r="K7" i="5" s="1"/>
  <c r="E6" i="5"/>
  <c r="F8" i="4"/>
  <c r="J28" i="5" l="1"/>
  <c r="K28" i="5" s="1"/>
  <c r="J19" i="5"/>
  <c r="K19" i="5" s="1"/>
  <c r="F20" i="5"/>
  <c r="J20" i="5" s="1"/>
  <c r="K20" i="5" s="1"/>
  <c r="F29" i="5"/>
  <c r="J29" i="5" s="1"/>
  <c r="K29" i="5" s="1"/>
  <c r="F47" i="5"/>
  <c r="J47" i="5" s="1"/>
  <c r="K47" i="5" s="1"/>
  <c r="F6" i="5"/>
  <c r="J6" i="5" s="1"/>
  <c r="K6" i="5" s="1"/>
  <c r="N8" i="4"/>
  <c r="V8" i="4" s="1"/>
  <c r="V12" i="4" s="1"/>
  <c r="D6" i="3"/>
  <c r="C9" i="3" s="1"/>
  <c r="D9" i="3"/>
  <c r="F16" i="2"/>
  <c r="F48" i="1"/>
  <c r="C48" i="1"/>
  <c r="C47" i="1"/>
  <c r="C46" i="1"/>
  <c r="C44" i="1"/>
  <c r="C43" i="1"/>
  <c r="C42" i="1"/>
  <c r="C41" i="1"/>
  <c r="C28" i="1"/>
  <c r="C29" i="1"/>
  <c r="C30" i="1"/>
  <c r="C31" i="1"/>
  <c r="C32" i="1"/>
  <c r="C33" i="1"/>
  <c r="C34" i="1"/>
  <c r="C35" i="1"/>
  <c r="C36" i="1"/>
  <c r="C27" i="1"/>
  <c r="C19" i="1"/>
  <c r="C20" i="1"/>
  <c r="C21" i="1"/>
  <c r="C22" i="1"/>
  <c r="C23" i="1"/>
  <c r="C24" i="1"/>
  <c r="C25" i="1"/>
  <c r="C26" i="1"/>
  <c r="C18" i="1"/>
  <c r="C17" i="1"/>
  <c r="C10" i="1"/>
  <c r="C9" i="1"/>
  <c r="C7" i="1"/>
  <c r="C6" i="1"/>
  <c r="F12" i="2"/>
  <c r="F8" i="2" l="1"/>
  <c r="F28" i="1"/>
  <c r="N8" i="2" l="1"/>
  <c r="V8" i="2" s="1"/>
  <c r="V12" i="2" s="1"/>
  <c r="F43" i="1" l="1"/>
  <c r="J43" i="1" s="1"/>
  <c r="K43" i="1" s="1"/>
  <c r="E46" i="1" l="1"/>
  <c r="E48" i="1"/>
  <c r="E47" i="1"/>
  <c r="F41" i="1"/>
  <c r="J41" i="1" s="1"/>
  <c r="K41" i="1" s="1"/>
  <c r="F42" i="1"/>
  <c r="J42" i="1" s="1"/>
  <c r="K42" i="1" s="1"/>
  <c r="F47" i="1" l="1"/>
  <c r="J47" i="1" s="1"/>
  <c r="K47" i="1" s="1"/>
  <c r="F46" i="1"/>
  <c r="J46" i="1" s="1"/>
  <c r="K46" i="1" s="1"/>
  <c r="J48" i="1"/>
  <c r="K48" i="1" s="1"/>
  <c r="F44" i="1" l="1"/>
  <c r="J44" i="1" s="1"/>
  <c r="K44" i="1" s="1"/>
  <c r="F36" i="1" l="1"/>
  <c r="J36" i="1" s="1"/>
  <c r="K36" i="1" s="1"/>
  <c r="F35" i="1"/>
  <c r="J35" i="1" s="1"/>
  <c r="K35" i="1" s="1"/>
  <c r="F34" i="1"/>
  <c r="J34" i="1" s="1"/>
  <c r="K34" i="1" s="1"/>
  <c r="F33" i="1"/>
  <c r="J33" i="1" s="1"/>
  <c r="K33" i="1" s="1"/>
  <c r="F32" i="1"/>
  <c r="J32" i="1" s="1"/>
  <c r="K32" i="1" s="1"/>
  <c r="E31" i="1"/>
  <c r="E30" i="1"/>
  <c r="E29" i="1"/>
  <c r="E28" i="1"/>
  <c r="E27" i="1"/>
  <c r="F30" i="1" l="1"/>
  <c r="J30" i="1" s="1"/>
  <c r="K30" i="1" s="1"/>
  <c r="F31" i="1"/>
  <c r="J31" i="1" s="1"/>
  <c r="K31" i="1" s="1"/>
  <c r="F29" i="1"/>
  <c r="J29" i="1" s="1"/>
  <c r="K29" i="1" s="1"/>
  <c r="F27" i="1"/>
  <c r="J27" i="1" s="1"/>
  <c r="K27" i="1" s="1"/>
  <c r="J28" i="1"/>
  <c r="K28" i="1" s="1"/>
  <c r="J15" i="1"/>
  <c r="K15" i="1" s="1"/>
  <c r="C15" i="1"/>
  <c r="E13" i="1"/>
  <c r="J13" i="1" s="1"/>
  <c r="K13" i="1" s="1"/>
  <c r="F25" i="1"/>
  <c r="J25" i="1" s="1"/>
  <c r="K25" i="1" s="1"/>
  <c r="F24" i="1"/>
  <c r="J24" i="1" s="1"/>
  <c r="K24" i="1" s="1"/>
  <c r="F23" i="1"/>
  <c r="J23" i="1" s="1"/>
  <c r="K23" i="1" s="1"/>
  <c r="E21" i="1"/>
  <c r="E20" i="1"/>
  <c r="E19" i="1"/>
  <c r="E18" i="1"/>
  <c r="F22" i="1"/>
  <c r="E17" i="1"/>
  <c r="E9" i="1"/>
  <c r="D10" i="1"/>
  <c r="J14" i="1"/>
  <c r="K14" i="1" s="1"/>
  <c r="C14" i="1"/>
  <c r="E6" i="1"/>
  <c r="D9" i="1" l="1"/>
  <c r="J9" i="1" s="1"/>
  <c r="K9" i="1" s="1"/>
  <c r="F18" i="1"/>
  <c r="J18" i="1" s="1"/>
  <c r="K18" i="1" s="1"/>
  <c r="F26" i="1"/>
  <c r="J26" i="1" s="1"/>
  <c r="K26" i="1" s="1"/>
  <c r="C13" i="1"/>
  <c r="F21" i="1"/>
  <c r="J21" i="1" s="1"/>
  <c r="K21" i="1" s="1"/>
  <c r="F20" i="1"/>
  <c r="J20" i="1" s="1"/>
  <c r="K20" i="1" s="1"/>
  <c r="F19" i="1"/>
  <c r="J19" i="1" s="1"/>
  <c r="K19" i="1" s="1"/>
  <c r="J22" i="1"/>
  <c r="K22" i="1" s="1"/>
  <c r="J10" i="1"/>
  <c r="K10" i="1" s="1"/>
  <c r="F7" i="1"/>
  <c r="J7" i="1" s="1"/>
  <c r="K7" i="1" s="1"/>
  <c r="E12" i="1"/>
  <c r="J12" i="1" s="1"/>
  <c r="K12" i="1" s="1"/>
  <c r="F6" i="1"/>
  <c r="J6" i="1" s="1"/>
  <c r="K6" i="1" s="1"/>
  <c r="F17" i="1" l="1"/>
  <c r="J17" i="1" s="1"/>
  <c r="K17" i="1" s="1"/>
</calcChain>
</file>

<file path=xl/comments1.xml><?xml version="1.0" encoding="utf-8"?>
<comments xmlns="http://schemas.openxmlformats.org/spreadsheetml/2006/main">
  <authors>
    <author>Jeremy Leung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Ideally around 150mm (to fit easily into 6" box)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Required deflection for 90° bend calculated from length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ΔT is probably around 30°C (K), no more than 40°C (need to check)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Change in longitudinal curvature per unit temperature change (ranges from 9.8 to 20.8/K for bimetals)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Standard size for bimetals range from 0.08mm - 2mm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Elasticity (Ranges from 135000 to 185000 N/mm²)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Restrained by the width of the blinds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Calculated with equation below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Designations from IMPHY Catalogue (from Chad's email)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Calculate bimaterial strip thickness required to satisfy other parameters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Calculate ΔT required to satisfy other parameters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Calculate deflection with above equation based on other parameters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Calculate length of bimaterial required for various temperatures to achieve 90° bending</t>
        </r>
      </text>
    </comment>
  </commentList>
</comments>
</file>

<file path=xl/comments2.xml><?xml version="1.0" encoding="utf-8"?>
<comments xmlns="http://schemas.openxmlformats.org/spreadsheetml/2006/main">
  <authors>
    <author>Jeremy Leung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Ideally around 150mm (to fit easily into 6" box)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Required deflection for 90° bend calculated from length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ΔT is probably around 30°C (K), no more than 40°C (need to check)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Change in longitudinal curvature per unit temperature change (ranges from 9.8 to 20.8/K for bimetals)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Standard size for bimetals range from 0.08mm - 2mm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Elasticity (Ranges from 135000 to 185000 N/mm²)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Restrained by the width of the blinds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Calculated with equation below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Designations from IMPHY Catalogue (from Chad's email)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Calculate bimaterial strip thickness required to satisfy other parameters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Calculate ΔT required to satisfy other parameters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Calculate deflection with above equation based on other parameters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Jeremy Leung:</t>
        </r>
        <r>
          <rPr>
            <sz val="9"/>
            <color indexed="81"/>
            <rFont val="Tahoma"/>
            <family val="2"/>
          </rPr>
          <t xml:space="preserve">
Calculate length of bimaterial required for various temperatures to achieve 90° bending</t>
        </r>
      </text>
    </comment>
  </commentList>
</comments>
</file>

<file path=xl/sharedStrings.xml><?xml version="1.0" encoding="utf-8"?>
<sst xmlns="http://schemas.openxmlformats.org/spreadsheetml/2006/main" count="139" uniqueCount="59">
  <si>
    <t>A (mm)</t>
  </si>
  <si>
    <t>L (mm)</t>
  </si>
  <si>
    <t>grams</t>
  </si>
  <si>
    <t>P (N)</t>
  </si>
  <si>
    <t>Vary thickness</t>
  </si>
  <si>
    <t>Vary ΔT</t>
  </si>
  <si>
    <t>Vary deflection</t>
  </si>
  <si>
    <t>Low-end</t>
  </si>
  <si>
    <t>High-end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</si>
  <si>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T (K)</t>
    </r>
  </si>
  <si>
    <r>
      <t>a (K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</si>
  <si>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B (mm)</t>
  </si>
  <si>
    <t>s (mm)</t>
  </si>
  <si>
    <r>
      <t>E (N/mm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</si>
  <si>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Vary length via ΔT</t>
  </si>
  <si>
    <t>Length</t>
  </si>
  <si>
    <t>Thickness</t>
  </si>
  <si>
    <t>Thermal Deflection</t>
  </si>
  <si>
    <t>Temp. change</t>
  </si>
  <si>
    <t>Young's Modulus</t>
  </si>
  <si>
    <t>Width</t>
  </si>
  <si>
    <t>Force</t>
  </si>
  <si>
    <t>Good</t>
  </si>
  <si>
    <t>Neutral</t>
  </si>
  <si>
    <t>Bad</t>
  </si>
  <si>
    <t>Material Property</t>
  </si>
  <si>
    <t>Calculated</t>
  </si>
  <si>
    <t>IMPHY R15</t>
  </si>
  <si>
    <t>IMPHY 108 SP</t>
  </si>
  <si>
    <t>Deflection (required)</t>
  </si>
  <si>
    <t>Legend</t>
  </si>
  <si>
    <t>Variables</t>
  </si>
  <si>
    <t>Best Case Scenario Calculations</t>
  </si>
  <si>
    <t>Assume we can achieve a ΔT of 40K.</t>
  </si>
  <si>
    <t>This means for the high-end bimetal we can "afford" a 0.15mm thick, 150mm long, 30mm wide strip that can lift about 50 grams. A wider strip could lift more.</t>
  </si>
  <si>
    <t>If we'd prefer to use the low-end bimetal of similar length (it would have to be slightly longer), the strip would only lift about 8 grams. This is because it must be much thinner to achieve the same bending.</t>
  </si>
  <si>
    <t>If our actual required force is something in between these two (50 and 8 grams), a mid-range bimetal could be considered.</t>
  </si>
  <si>
    <t>Length of bimaterial actuator (mm)</t>
  </si>
  <si>
    <t>Step 1</t>
  </si>
  <si>
    <t>Results</t>
  </si>
  <si>
    <t>Step 2</t>
  </si>
  <si>
    <t>ΔT (From open to closed, K)</t>
  </si>
  <si>
    <t>Step 3</t>
  </si>
  <si>
    <t>Width (mm)</t>
  </si>
  <si>
    <t>Young's Modulus (135000 to 185000 N/mm²)</t>
  </si>
  <si>
    <r>
      <t>Thermal Deflection (9.8 to 20.8 K</t>
    </r>
    <r>
      <rPr>
        <i/>
        <vertAlign val="superscript"/>
        <sz val="11"/>
        <color rgb="FF7F7F7F"/>
        <rFont val="Calibri"/>
        <family val="2"/>
        <scheme val="minor"/>
      </rPr>
      <t>-1</t>
    </r>
    <r>
      <rPr>
        <i/>
        <sz val="11"/>
        <color rgb="FF7F7F7F"/>
        <rFont val="Calibri"/>
        <family val="2"/>
        <scheme val="minor"/>
      </rPr>
      <t>)</t>
    </r>
  </si>
  <si>
    <t>Force exerted by actuation (N)</t>
  </si>
  <si>
    <t>Force exerted by actuation (g)</t>
  </si>
  <si>
    <t>Result</t>
  </si>
  <si>
    <t>Thickness required for 90° bend (mm)</t>
  </si>
  <si>
    <t>Theta</t>
  </si>
  <si>
    <r>
      <t>Deflection required for 90° bend (</t>
    </r>
    <r>
      <rPr>
        <i/>
        <sz val="11"/>
        <color theme="9"/>
        <rFont val="Calibri"/>
        <family val="2"/>
        <scheme val="minor"/>
      </rPr>
      <t>A</t>
    </r>
    <r>
      <rPr>
        <i/>
        <sz val="11"/>
        <color rgb="FF7F7F7F"/>
        <rFont val="Calibri"/>
        <family val="2"/>
        <scheme val="minor"/>
      </rPr>
      <t>, mm)</t>
    </r>
  </si>
  <si>
    <r>
      <t>Chord Length (</t>
    </r>
    <r>
      <rPr>
        <i/>
        <sz val="11"/>
        <color theme="5"/>
        <rFont val="Calibri"/>
        <family val="2"/>
        <scheme val="minor"/>
      </rPr>
      <t>C</t>
    </r>
    <r>
      <rPr>
        <i/>
        <sz val="11"/>
        <color rgb="FF7F7F7F"/>
        <rFont val="Calibri"/>
        <family val="2"/>
        <scheme val="minor"/>
      </rPr>
      <t>, mm)</t>
    </r>
  </si>
  <si>
    <r>
      <t>Minimum box size (</t>
    </r>
    <r>
      <rPr>
        <i/>
        <sz val="11"/>
        <rFont val="Calibri"/>
        <family val="2"/>
        <scheme val="minor"/>
      </rPr>
      <t>W</t>
    </r>
    <r>
      <rPr>
        <i/>
        <sz val="11"/>
        <color rgb="FF7F7F7F"/>
        <rFont val="Calibri"/>
        <family val="2"/>
        <scheme val="minor"/>
      </rPr>
      <t>, length of one side, mm)</t>
    </r>
  </si>
  <si>
    <t>Chord length</t>
  </si>
  <si>
    <t>radius of curvature</t>
  </si>
  <si>
    <t>Force Calculator for Inside Hinges</t>
  </si>
  <si>
    <t>Force Calculator for "Corner" Hinges</t>
  </si>
  <si>
    <r>
      <t xml:space="preserve">Cells in </t>
    </r>
    <r>
      <rPr>
        <sz val="11"/>
        <color theme="5" tint="0.39997558519241921"/>
        <rFont val="Calibri"/>
        <family val="2"/>
        <scheme val="minor"/>
      </rPr>
      <t>Orange</t>
    </r>
    <r>
      <rPr>
        <sz val="11"/>
        <color theme="0"/>
        <rFont val="Calibri"/>
        <family val="2"/>
        <scheme val="minor"/>
      </rPr>
      <t xml:space="preserve"> are input cells, grey cells in </t>
    </r>
    <r>
      <rPr>
        <b/>
        <sz val="11"/>
        <color theme="0"/>
        <rFont val="Calibri"/>
        <family val="2"/>
        <scheme val="minor"/>
      </rPr>
      <t>Bold</t>
    </r>
    <r>
      <rPr>
        <sz val="11"/>
        <color theme="0"/>
        <rFont val="Calibri"/>
        <family val="2"/>
        <scheme val="minor"/>
      </rPr>
      <t xml:space="preserve"> are output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</si>
</sst>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perscript"/>
      <sz val="11"/>
      <color rgb="FF7F7F7F"/>
      <name val="Calibri"/>
      <family val="2"/>
      <scheme val="minor"/>
    </font>
    <font>
      <i/>
      <sz val="11"/>
      <color theme="9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theme="6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thin">
        <color rgb="FF7F7F7F"/>
      </left>
      <right style="thin">
        <color rgb="FF7F7F7F"/>
      </right>
      <top style="slantDashDot">
        <color indexed="64"/>
      </top>
      <bottom style="slantDashDot">
        <color indexed="64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 style="thin">
        <color rgb="FF7F7F7F"/>
      </left>
      <right style="thin">
        <color rgb="FF7F7F7F"/>
      </right>
      <top style="mediumDashDotDot">
        <color auto="1"/>
      </top>
      <bottom style="mediumDashDotDot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slantDashDot">
        <color indexed="64"/>
      </bottom>
      <diagonal/>
    </border>
    <border>
      <left style="thin">
        <color rgb="FF7F7F7F"/>
      </left>
      <right style="thin">
        <color rgb="FF7F7F7F"/>
      </right>
      <top/>
      <bottom style="slantDashDot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slantDashDot">
        <color rgb="FF7F7F7F"/>
      </top>
      <bottom style="slantDashDot">
        <color rgb="FF7F7F7F"/>
      </bottom>
      <diagonal/>
    </border>
    <border>
      <left style="thin">
        <color rgb="FF7F7F7F"/>
      </left>
      <right style="thin">
        <color rgb="FF7F7F7F"/>
      </right>
      <top style="slantDashDot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rgb="FF7F7F7F"/>
      </left>
      <right style="thin">
        <color rgb="FF7F7F7F"/>
      </right>
      <top style="slantDashDot">
        <color indexed="64"/>
      </top>
      <bottom/>
      <diagonal/>
    </border>
    <border>
      <left/>
      <right style="thin">
        <color rgb="FF7F7F7F"/>
      </right>
      <top style="slantDashDot">
        <color indexed="64"/>
      </top>
      <bottom/>
      <diagonal/>
    </border>
    <border>
      <left/>
      <right style="thin">
        <color rgb="FF7F7F7F"/>
      </right>
      <top/>
      <bottom style="slantDashDot">
        <color indexed="64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1" applyNumberFormat="0" applyAlignment="0" applyProtection="0"/>
    <xf numFmtId="0" fontId="13" fillId="0" borderId="21" applyNumberFormat="0" applyFill="0" applyAlignment="0" applyProtection="0"/>
    <xf numFmtId="0" fontId="14" fillId="0" borderId="22" applyNumberFormat="0" applyFill="0" applyAlignment="0" applyProtection="0"/>
    <xf numFmtId="0" fontId="15" fillId="2" borderId="23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</cellStyleXfs>
  <cellXfs count="133">
    <xf numFmtId="0" fontId="0" fillId="0" borderId="0" xfId="0"/>
    <xf numFmtId="0" fontId="3" fillId="4" borderId="0" xfId="3"/>
    <xf numFmtId="0" fontId="4" fillId="5" borderId="0" xfId="4"/>
    <xf numFmtId="0" fontId="6" fillId="0" borderId="0" xfId="0" applyFont="1"/>
    <xf numFmtId="0" fontId="5" fillId="6" borderId="1" xfId="5" applyNumberFormat="1"/>
    <xf numFmtId="0" fontId="5" fillId="6" borderId="1" xfId="5"/>
    <xf numFmtId="0" fontId="6" fillId="7" borderId="0" xfId="0" applyFont="1" applyFill="1"/>
    <xf numFmtId="0" fontId="3" fillId="7" borderId="0" xfId="3" applyFill="1"/>
    <xf numFmtId="0" fontId="0" fillId="7" borderId="0" xfId="0" applyFill="1"/>
    <xf numFmtId="0" fontId="2" fillId="3" borderId="0" xfId="2"/>
    <xf numFmtId="165" fontId="4" fillId="5" borderId="0" xfId="4" applyNumberFormat="1"/>
    <xf numFmtId="164" fontId="3" fillId="4" borderId="0" xfId="3" applyNumberFormat="1"/>
    <xf numFmtId="164" fontId="4" fillId="5" borderId="0" xfId="4" applyNumberFormat="1"/>
    <xf numFmtId="164" fontId="2" fillId="3" borderId="0" xfId="2" applyNumberFormat="1"/>
    <xf numFmtId="2" fontId="3" fillId="4" borderId="0" xfId="3" applyNumberFormat="1"/>
    <xf numFmtId="2" fontId="1" fillId="2" borderId="1" xfId="1" applyNumberFormat="1"/>
    <xf numFmtId="1" fontId="3" fillId="4" borderId="0" xfId="3" applyNumberForma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7" borderId="0" xfId="0" applyFont="1" applyFill="1" applyAlignment="1">
      <alignment vertical="top"/>
    </xf>
    <xf numFmtId="166" fontId="1" fillId="2" borderId="1" xfId="1" applyNumberFormat="1"/>
    <xf numFmtId="1" fontId="4" fillId="5" borderId="0" xfId="4" applyNumberFormat="1"/>
    <xf numFmtId="0" fontId="5" fillId="6" borderId="3" xfId="5" applyNumberFormat="1" applyBorder="1"/>
    <xf numFmtId="0" fontId="5" fillId="6" borderId="3" xfId="5" applyBorder="1"/>
    <xf numFmtId="166" fontId="1" fillId="2" borderId="3" xfId="1" applyNumberFormat="1" applyBorder="1"/>
    <xf numFmtId="1" fontId="3" fillId="4" borderId="0" xfId="3" applyNumberFormat="1" applyBorder="1"/>
    <xf numFmtId="0" fontId="2" fillId="3" borderId="0" xfId="2" applyBorder="1"/>
    <xf numFmtId="0" fontId="5" fillId="6" borderId="1" xfId="5" applyNumberFormat="1" applyBorder="1"/>
    <xf numFmtId="0" fontId="0" fillId="7" borderId="0" xfId="0" applyFill="1" applyBorder="1"/>
    <xf numFmtId="0" fontId="5" fillId="6" borderId="1" xfId="5" applyBorder="1"/>
    <xf numFmtId="0" fontId="0" fillId="0" borderId="0" xfId="0" applyBorder="1"/>
    <xf numFmtId="166" fontId="1" fillId="2" borderId="1" xfId="1" applyNumberFormat="1" applyBorder="1"/>
    <xf numFmtId="164" fontId="3" fillId="4" borderId="0" xfId="3" applyNumberFormat="1" applyBorder="1"/>
    <xf numFmtId="164" fontId="4" fillId="5" borderId="0" xfId="4" applyNumberFormat="1" applyBorder="1"/>
    <xf numFmtId="1" fontId="4" fillId="5" borderId="0" xfId="4" applyNumberFormat="1" applyBorder="1"/>
    <xf numFmtId="1" fontId="2" fillId="3" borderId="0" xfId="2" applyNumberFormat="1" applyBorder="1"/>
    <xf numFmtId="0" fontId="4" fillId="5" borderId="0" xfId="4" applyBorder="1"/>
    <xf numFmtId="1" fontId="2" fillId="3" borderId="2" xfId="2" applyNumberFormat="1" applyBorder="1"/>
    <xf numFmtId="0" fontId="4" fillId="5" borderId="2" xfId="4" applyBorder="1"/>
    <xf numFmtId="0" fontId="5" fillId="6" borderId="4" xfId="5" applyNumberFormat="1" applyBorder="1"/>
    <xf numFmtId="0" fontId="2" fillId="3" borderId="2" xfId="2" applyBorder="1"/>
    <xf numFmtId="0" fontId="0" fillId="7" borderId="2" xfId="0" applyFill="1" applyBorder="1"/>
    <xf numFmtId="0" fontId="5" fillId="6" borderId="4" xfId="5" applyBorder="1"/>
    <xf numFmtId="0" fontId="0" fillId="0" borderId="2" xfId="0" applyBorder="1"/>
    <xf numFmtId="166" fontId="1" fillId="2" borderId="4" xfId="1" applyNumberFormat="1" applyBorder="1"/>
    <xf numFmtId="164" fontId="2" fillId="3" borderId="2" xfId="2" applyNumberFormat="1" applyBorder="1"/>
    <xf numFmtId="0" fontId="9" fillId="0" borderId="5" xfId="0" applyFont="1" applyBorder="1"/>
    <xf numFmtId="0" fontId="2" fillId="3" borderId="7" xfId="2" applyBorder="1"/>
    <xf numFmtId="0" fontId="4" fillId="5" borderId="8" xfId="4" applyBorder="1"/>
    <xf numFmtId="0" fontId="3" fillId="4" borderId="8" xfId="3" applyBorder="1"/>
    <xf numFmtId="0" fontId="1" fillId="2" borderId="1" xfId="1" applyBorder="1"/>
    <xf numFmtId="164" fontId="2" fillId="3" borderId="0" xfId="2" applyNumberFormat="1" applyBorder="1"/>
    <xf numFmtId="1" fontId="3" fillId="4" borderId="2" xfId="3" applyNumberFormat="1" applyBorder="1"/>
    <xf numFmtId="0" fontId="3" fillId="4" borderId="0" xfId="3" applyBorder="1"/>
    <xf numFmtId="165" fontId="2" fillId="3" borderId="0" xfId="2" applyNumberFormat="1"/>
    <xf numFmtId="2" fontId="1" fillId="2" borderId="9" xfId="1" applyNumberFormat="1" applyBorder="1"/>
    <xf numFmtId="0" fontId="5" fillId="6" borderId="9" xfId="5" applyNumberFormat="1" applyBorder="1"/>
    <xf numFmtId="0" fontId="5" fillId="6" borderId="9" xfId="5" applyBorder="1"/>
    <xf numFmtId="166" fontId="1" fillId="2" borderId="9" xfId="1" applyNumberFormat="1" applyBorder="1"/>
    <xf numFmtId="1" fontId="2" fillId="3" borderId="11" xfId="2" applyNumberFormat="1" applyBorder="1"/>
    <xf numFmtId="0" fontId="4" fillId="5" borderId="11" xfId="4" applyBorder="1"/>
    <xf numFmtId="0" fontId="5" fillId="6" borderId="12" xfId="5" applyNumberFormat="1" applyBorder="1"/>
    <xf numFmtId="0" fontId="2" fillId="3" borderId="11" xfId="2" applyBorder="1"/>
    <xf numFmtId="0" fontId="0" fillId="7" borderId="11" xfId="0" applyFill="1" applyBorder="1"/>
    <xf numFmtId="0" fontId="5" fillId="6" borderId="12" xfId="5" applyBorder="1"/>
    <xf numFmtId="0" fontId="0" fillId="0" borderId="11" xfId="0" applyBorder="1"/>
    <xf numFmtId="166" fontId="1" fillId="2" borderId="12" xfId="1" applyNumberFormat="1" applyBorder="1"/>
    <xf numFmtId="164" fontId="2" fillId="3" borderId="10" xfId="2" applyNumberFormat="1" applyBorder="1"/>
    <xf numFmtId="1" fontId="4" fillId="5" borderId="14" xfId="4" applyNumberFormat="1" applyBorder="1"/>
    <xf numFmtId="2" fontId="1" fillId="2" borderId="15" xfId="1" applyNumberFormat="1" applyBorder="1"/>
    <xf numFmtId="0" fontId="4" fillId="5" borderId="14" xfId="4" applyBorder="1"/>
    <xf numFmtId="0" fontId="5" fillId="6" borderId="15" xfId="5" applyNumberFormat="1" applyBorder="1"/>
    <xf numFmtId="0" fontId="0" fillId="7" borderId="14" xfId="0" applyFill="1" applyBorder="1"/>
    <xf numFmtId="0" fontId="5" fillId="6" borderId="15" xfId="5" applyBorder="1"/>
    <xf numFmtId="0" fontId="0" fillId="0" borderId="14" xfId="0" applyBorder="1"/>
    <xf numFmtId="166" fontId="1" fillId="2" borderId="15" xfId="1" applyNumberFormat="1" applyBorder="1"/>
    <xf numFmtId="164" fontId="4" fillId="5" borderId="13" xfId="4" applyNumberFormat="1" applyBorder="1"/>
    <xf numFmtId="0" fontId="9" fillId="0" borderId="16" xfId="0" applyFont="1" applyBorder="1"/>
    <xf numFmtId="1" fontId="2" fillId="3" borderId="19" xfId="2" applyNumberFormat="1" applyBorder="1"/>
    <xf numFmtId="0" fontId="4" fillId="5" borderId="19" xfId="4" applyBorder="1"/>
    <xf numFmtId="0" fontId="5" fillId="6" borderId="20" xfId="5" applyNumberFormat="1" applyBorder="1"/>
    <xf numFmtId="0" fontId="2" fillId="3" borderId="19" xfId="2" applyBorder="1"/>
    <xf numFmtId="0" fontId="0" fillId="7" borderId="19" xfId="0" applyFill="1" applyBorder="1"/>
    <xf numFmtId="0" fontId="5" fillId="6" borderId="20" xfId="5" applyBorder="1"/>
    <xf numFmtId="0" fontId="0" fillId="0" borderId="19" xfId="0" applyBorder="1"/>
    <xf numFmtId="166" fontId="1" fillId="2" borderId="20" xfId="1" applyNumberFormat="1" applyBorder="1"/>
    <xf numFmtId="164" fontId="2" fillId="3" borderId="19" xfId="2" applyNumberFormat="1" applyBorder="1"/>
    <xf numFmtId="0" fontId="17" fillId="8" borderId="0" xfId="10"/>
    <xf numFmtId="2" fontId="1" fillId="2" borderId="29" xfId="1" applyNumberFormat="1" applyBorder="1"/>
    <xf numFmtId="2" fontId="1" fillId="2" borderId="1" xfId="1" applyNumberFormat="1"/>
    <xf numFmtId="2" fontId="1" fillId="2" borderId="12" xfId="1" applyNumberFormat="1" applyBorder="1"/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13" fillId="0" borderId="21" xfId="6" applyAlignment="1">
      <alignment horizontal="left" wrapText="1"/>
    </xf>
    <xf numFmtId="0" fontId="16" fillId="0" borderId="0" xfId="9" applyAlignment="1">
      <alignment horizontal="center" wrapText="1"/>
    </xf>
    <xf numFmtId="164" fontId="15" fillId="2" borderId="24" xfId="8" applyNumberFormat="1" applyBorder="1" applyAlignment="1">
      <alignment horizontal="center"/>
    </xf>
    <xf numFmtId="164" fontId="15" fillId="2" borderId="25" xfId="8" applyNumberFormat="1" applyBorder="1" applyAlignment="1">
      <alignment horizontal="center"/>
    </xf>
    <xf numFmtId="164" fontId="15" fillId="2" borderId="26" xfId="8" applyNumberFormat="1" applyBorder="1" applyAlignment="1">
      <alignment horizontal="center"/>
    </xf>
    <xf numFmtId="0" fontId="14" fillId="0" borderId="22" xfId="7" applyAlignment="1">
      <alignment horizontal="center"/>
    </xf>
    <xf numFmtId="0" fontId="5" fillId="6" borderId="1" xfId="5" applyAlignment="1">
      <alignment horizontal="center"/>
    </xf>
    <xf numFmtId="2" fontId="15" fillId="2" borderId="24" xfId="8" applyNumberFormat="1" applyBorder="1" applyAlignment="1">
      <alignment horizontal="center"/>
    </xf>
    <xf numFmtId="2" fontId="15" fillId="2" borderId="25" xfId="8" applyNumberFormat="1" applyBorder="1" applyAlignment="1">
      <alignment horizontal="center"/>
    </xf>
    <xf numFmtId="2" fontId="15" fillId="2" borderId="26" xfId="8" applyNumberFormat="1" applyBorder="1" applyAlignment="1">
      <alignment horizontal="center"/>
    </xf>
    <xf numFmtId="0" fontId="5" fillId="6" borderId="7" xfId="5" applyBorder="1" applyAlignment="1">
      <alignment horizontal="center"/>
    </xf>
    <xf numFmtId="0" fontId="5" fillId="6" borderId="8" xfId="5" applyBorder="1" applyAlignment="1">
      <alignment horizontal="center"/>
    </xf>
    <xf numFmtId="0" fontId="5" fillId="6" borderId="27" xfId="5" applyBorder="1" applyAlignment="1">
      <alignment horizontal="center"/>
    </xf>
    <xf numFmtId="0" fontId="16" fillId="0" borderId="28" xfId="9" applyBorder="1" applyAlignment="1">
      <alignment horizontal="center" wrapText="1"/>
    </xf>
    <xf numFmtId="2" fontId="15" fillId="2" borderId="23" xfId="8" applyNumberFormat="1" applyAlignment="1">
      <alignment horizontal="center"/>
    </xf>
    <xf numFmtId="2" fontId="1" fillId="2" borderId="30" xfId="1" applyNumberFormat="1" applyBorder="1"/>
    <xf numFmtId="166" fontId="1" fillId="2" borderId="30" xfId="1" applyNumberFormat="1" applyBorder="1"/>
    <xf numFmtId="2" fontId="1" fillId="2" borderId="31" xfId="1" applyNumberFormat="1" applyBorder="1"/>
    <xf numFmtId="166" fontId="1" fillId="2" borderId="31" xfId="1" applyNumberFormat="1" applyBorder="1"/>
    <xf numFmtId="1" fontId="2" fillId="3" borderId="32" xfId="2" applyNumberFormat="1" applyBorder="1"/>
    <xf numFmtId="0" fontId="2" fillId="3" borderId="32" xfId="2" applyBorder="1"/>
    <xf numFmtId="164" fontId="2" fillId="3" borderId="33" xfId="2" applyNumberFormat="1" applyBorder="1"/>
    <xf numFmtId="164" fontId="2" fillId="3" borderId="34" xfId="2" applyNumberFormat="1" applyBorder="1"/>
    <xf numFmtId="0" fontId="5" fillId="6" borderId="35" xfId="5" applyBorder="1"/>
    <xf numFmtId="0" fontId="4" fillId="5" borderId="32" xfId="4" applyBorder="1"/>
    <xf numFmtId="0" fontId="5" fillId="6" borderId="35" xfId="5" applyNumberFormat="1" applyBorder="1"/>
    <xf numFmtId="0" fontId="0" fillId="7" borderId="36" xfId="0" applyFill="1" applyBorder="1"/>
    <xf numFmtId="0" fontId="0" fillId="7" borderId="37" xfId="0" applyFill="1" applyBorder="1"/>
    <xf numFmtId="0" fontId="0" fillId="0" borderId="36" xfId="0" applyBorder="1"/>
    <xf numFmtId="0" fontId="0" fillId="0" borderId="37" xfId="0" applyBorder="1"/>
  </cellXfs>
  <cellStyles count="11">
    <cellStyle name="Accent3" xfId="10" builtinId="37"/>
    <cellStyle name="Bad" xfId="3" builtinId="27"/>
    <cellStyle name="Calculation" xfId="1" builtinId="22"/>
    <cellStyle name="Explanatory Text" xfId="9" builtinId="53"/>
    <cellStyle name="Good" xfId="2" builtinId="26"/>
    <cellStyle name="Heading 1" xfId="6" builtinId="16"/>
    <cellStyle name="Heading 2" xfId="7" builtinId="17"/>
    <cellStyle name="Input" xfId="5" builtinId="20"/>
    <cellStyle name="Neutral" xfId="4" builtinId="28"/>
    <cellStyle name="Normal" xfId="0" builtinId="0"/>
    <cellStyle name="Output" xfId="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</a:t>
            </a:r>
            <a:r>
              <a:rPr lang="en-CA"/>
              <a:t>T vs Length required for "90 degree" bend (0.08mm thick)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'Inside hinges'!$A$17</c:f>
              <c:strCache>
                <c:ptCount val="1"/>
                <c:pt idx="0">
                  <c:v>Low-end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forward val="200"/>
            <c:backward val="200"/>
            <c:dispRSqr val="0"/>
            <c:dispEq val="0"/>
          </c:trendline>
          <c:xVal>
            <c:numRef>
              <c:f>'Inside hinges'!$B$17:$B$21</c:f>
              <c:numCache>
                <c:formatCode>0</c:formatCode>
                <c:ptCount val="5"/>
                <c:pt idx="0">
                  <c:v>1352.5340812182699</c:v>
                </c:pt>
                <c:pt idx="1">
                  <c:v>676.26704060913471</c:v>
                </c:pt>
                <c:pt idx="2">
                  <c:v>450.84469373942335</c:v>
                </c:pt>
                <c:pt idx="3">
                  <c:v>338.13352030456758</c:v>
                </c:pt>
                <c:pt idx="4">
                  <c:v>270.50681624365376</c:v>
                </c:pt>
              </c:numCache>
            </c:numRef>
          </c:xVal>
          <c:yVal>
            <c:numRef>
              <c:f>'Inside hinges'!$D$17:$D$21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'Inside hinges'!$A$22</c:f>
              <c:strCache>
                <c:ptCount val="1"/>
                <c:pt idx="0">
                  <c:v>High-end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forward val="900"/>
            <c:backward val="100"/>
            <c:dispRSqr val="0"/>
            <c:dispEq val="0"/>
          </c:trendline>
          <c:xVal>
            <c:numRef>
              <c:f>'Inside hinges'!$B$22:$B$26</c:f>
              <c:numCache>
                <c:formatCode>0</c:formatCode>
                <c:ptCount val="5"/>
                <c:pt idx="0">
                  <c:v>637.25163442014662</c:v>
                </c:pt>
                <c:pt idx="1">
                  <c:v>318.62581721007331</c:v>
                </c:pt>
                <c:pt idx="2">
                  <c:v>212.41721147338205</c:v>
                </c:pt>
                <c:pt idx="3">
                  <c:v>159.31290860503645</c:v>
                </c:pt>
                <c:pt idx="4">
                  <c:v>127.45032688402907</c:v>
                </c:pt>
              </c:numCache>
            </c:numRef>
          </c:xVal>
          <c:yVal>
            <c:numRef>
              <c:f>'Inside hinges'!$D$22:$D$26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136768"/>
        <c:axId val="304137888"/>
      </c:scatterChart>
      <c:valAx>
        <c:axId val="304136768"/>
        <c:scaling>
          <c:orientation val="minMax"/>
          <c:max val="1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800"/>
                  <a:t>Bimaterial Strip Length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37888"/>
        <c:crosses val="autoZero"/>
        <c:crossBetween val="midCat"/>
        <c:majorUnit val="200"/>
      </c:valAx>
      <c:valAx>
        <c:axId val="30413788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Delta T (K)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36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</a:t>
            </a:r>
            <a:r>
              <a:rPr lang="en-CA"/>
              <a:t>T vs Length required for "90 degree" bend (0.5mm thick)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'Inside hinges'!$A$27</c:f>
              <c:strCache>
                <c:ptCount val="1"/>
                <c:pt idx="0">
                  <c:v>Low-end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forward val="200"/>
            <c:backward val="500"/>
            <c:dispRSqr val="0"/>
            <c:dispEq val="0"/>
          </c:trendline>
          <c:xVal>
            <c:numRef>
              <c:f>'Inside hinges'!$B$27:$B$31</c:f>
              <c:numCache>
                <c:formatCode>0</c:formatCode>
                <c:ptCount val="5"/>
                <c:pt idx="0">
                  <c:v>8453.3380076141857</c:v>
                </c:pt>
                <c:pt idx="1">
                  <c:v>4226.6690038070938</c:v>
                </c:pt>
                <c:pt idx="2">
                  <c:v>2113.3345019035464</c:v>
                </c:pt>
                <c:pt idx="3">
                  <c:v>1408.8896679356976</c:v>
                </c:pt>
                <c:pt idx="4">
                  <c:v>1056.6672509517732</c:v>
                </c:pt>
              </c:numCache>
            </c:numRef>
          </c:xVal>
          <c:yVal>
            <c:numRef>
              <c:f>'Inside hinges'!$D$27:$D$31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'Inside hinges'!$A$32</c:f>
              <c:strCache>
                <c:ptCount val="1"/>
                <c:pt idx="0">
                  <c:v>High-end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forward val="900"/>
            <c:backward val="200"/>
            <c:dispRSqr val="0"/>
            <c:dispEq val="0"/>
          </c:trendline>
          <c:xVal>
            <c:numRef>
              <c:f>'Inside hinges'!$B$32:$B$36</c:f>
              <c:numCache>
                <c:formatCode>0</c:formatCode>
                <c:ptCount val="5"/>
                <c:pt idx="0">
                  <c:v>3982.8227151259161</c:v>
                </c:pt>
                <c:pt idx="1">
                  <c:v>1991.4113575629581</c:v>
                </c:pt>
                <c:pt idx="2">
                  <c:v>995.70567878147858</c:v>
                </c:pt>
                <c:pt idx="3">
                  <c:v>663.80378585431913</c:v>
                </c:pt>
                <c:pt idx="4">
                  <c:v>497.8528393907394</c:v>
                </c:pt>
              </c:numCache>
            </c:numRef>
          </c:xVal>
          <c:yVal>
            <c:numRef>
              <c:f>'Inside hinges'!$D$32:$D$36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855232"/>
        <c:axId val="304141248"/>
      </c:scatterChart>
      <c:valAx>
        <c:axId val="303855232"/>
        <c:scaling>
          <c:orientation val="minMax"/>
          <c:max val="14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800"/>
                  <a:t>Bimaterial Strip Length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41248"/>
        <c:crosses val="autoZero"/>
        <c:crossBetween val="midCat"/>
      </c:valAx>
      <c:valAx>
        <c:axId val="30414124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Delta T (K)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855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Force vs Length required for "90 degree" bend (</a:t>
            </a:r>
            <a:r>
              <a:rPr lang="en-CA" baseline="0"/>
              <a:t>30mm width</a:t>
            </a:r>
            <a:r>
              <a:rPr lang="en-CA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'Inside hinges'!$A$41</c:f>
              <c:strCache>
                <c:ptCount val="1"/>
                <c:pt idx="0">
                  <c:v>High-end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5"/>
            <c:backward val="100"/>
            <c:dispRSqr val="0"/>
            <c:dispEq val="0"/>
          </c:trendline>
          <c:xVal>
            <c:numRef>
              <c:f>'Inside hinges'!$B$41:$B$44</c:f>
              <c:numCache>
                <c:formatCode>0</c:formatCode>
                <c:ptCount val="4"/>
                <c:pt idx="0">
                  <c:v>225</c:v>
                </c:pt>
                <c:pt idx="1">
                  <c:v>175</c:v>
                </c:pt>
                <c:pt idx="2">
                  <c:v>149.35585181722178</c:v>
                </c:pt>
                <c:pt idx="3">
                  <c:v>100</c:v>
                </c:pt>
              </c:numCache>
            </c:numRef>
          </c:xVal>
          <c:yVal>
            <c:numRef>
              <c:f>'Inside hinges'!$K$41:$K$44</c:f>
              <c:numCache>
                <c:formatCode>0.000</c:formatCode>
                <c:ptCount val="4"/>
                <c:pt idx="0">
                  <c:v>38.395190867396934</c:v>
                </c:pt>
                <c:pt idx="1">
                  <c:v>29.862926230197626</c:v>
                </c:pt>
                <c:pt idx="2">
                  <c:v>25.486873056377281</c:v>
                </c:pt>
                <c:pt idx="3">
                  <c:v>17.064529274398641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'Inside hinges'!$A$46</c:f>
              <c:strCache>
                <c:ptCount val="1"/>
                <c:pt idx="0">
                  <c:v>Low-end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5"/>
            <c:backward val="169"/>
            <c:dispRSqr val="0"/>
            <c:dispEq val="0"/>
          </c:trendline>
          <c:xVal>
            <c:numRef>
              <c:f>'Inside hinges'!$B$46:$B$48</c:f>
              <c:numCache>
                <c:formatCode>0</c:formatCode>
                <c:ptCount val="3"/>
                <c:pt idx="0">
                  <c:v>225</c:v>
                </c:pt>
                <c:pt idx="1">
                  <c:v>200</c:v>
                </c:pt>
                <c:pt idx="2">
                  <c:v>169.06676015228373</c:v>
                </c:pt>
              </c:numCache>
            </c:numRef>
          </c:xVal>
          <c:yVal>
            <c:numRef>
              <c:f>'Inside hinges'!$K$46:$K$48</c:f>
              <c:numCache>
                <c:formatCode>0.000</c:formatCode>
                <c:ptCount val="3"/>
                <c:pt idx="0">
                  <c:v>5.3245672369291892</c:v>
                </c:pt>
                <c:pt idx="1">
                  <c:v>4.7329486550481681</c:v>
                </c:pt>
                <c:pt idx="2">
                  <c:v>4.0009214753805153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500208"/>
        <c:axId val="309500768"/>
      </c:scatterChart>
      <c:valAx>
        <c:axId val="309500208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800"/>
                  <a:t>Bimaterial Strip Length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00768"/>
        <c:crosses val="autoZero"/>
        <c:crossBetween val="midCat"/>
      </c:valAx>
      <c:valAx>
        <c:axId val="309500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00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Force vs Length required for "90 degree" bend (</a:t>
            </a:r>
            <a:r>
              <a:rPr lang="en-CA" baseline="0"/>
              <a:t>30mm width</a:t>
            </a:r>
            <a:r>
              <a:rPr lang="en-CA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'Inside hinges'!$A$41</c:f>
              <c:strCache>
                <c:ptCount val="1"/>
                <c:pt idx="0">
                  <c:v>High-end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5"/>
            <c:backward val="100"/>
            <c:dispRSqr val="0"/>
            <c:dispEq val="0"/>
          </c:trendline>
          <c:xVal>
            <c:numRef>
              <c:f>'Inside hinges'!$B$41:$B$44</c:f>
              <c:numCache>
                <c:formatCode>0</c:formatCode>
                <c:ptCount val="4"/>
                <c:pt idx="0">
                  <c:v>225</c:v>
                </c:pt>
                <c:pt idx="1">
                  <c:v>175</c:v>
                </c:pt>
                <c:pt idx="2">
                  <c:v>149.35585181722178</c:v>
                </c:pt>
                <c:pt idx="3">
                  <c:v>100</c:v>
                </c:pt>
              </c:numCache>
            </c:numRef>
          </c:xVal>
          <c:yVal>
            <c:numRef>
              <c:f>'Inside hinges'!$K$41:$K$44</c:f>
              <c:numCache>
                <c:formatCode>0.000</c:formatCode>
                <c:ptCount val="4"/>
                <c:pt idx="0">
                  <c:v>38.395190867396934</c:v>
                </c:pt>
                <c:pt idx="1">
                  <c:v>29.862926230197626</c:v>
                </c:pt>
                <c:pt idx="2">
                  <c:v>25.486873056377281</c:v>
                </c:pt>
                <c:pt idx="3">
                  <c:v>17.064529274398641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'Inside hinges'!$A$46</c:f>
              <c:strCache>
                <c:ptCount val="1"/>
                <c:pt idx="0">
                  <c:v>Low-end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5"/>
            <c:backward val="169"/>
            <c:dispRSqr val="0"/>
            <c:dispEq val="0"/>
          </c:trendline>
          <c:xVal>
            <c:numRef>
              <c:f>'Inside hinges'!$B$46:$B$48</c:f>
              <c:numCache>
                <c:formatCode>0</c:formatCode>
                <c:ptCount val="3"/>
                <c:pt idx="0">
                  <c:v>225</c:v>
                </c:pt>
                <c:pt idx="1">
                  <c:v>200</c:v>
                </c:pt>
                <c:pt idx="2">
                  <c:v>169.06676015228373</c:v>
                </c:pt>
              </c:numCache>
            </c:numRef>
          </c:xVal>
          <c:yVal>
            <c:numRef>
              <c:f>'Inside hinges'!$K$46:$K$48</c:f>
              <c:numCache>
                <c:formatCode>0.000</c:formatCode>
                <c:ptCount val="3"/>
                <c:pt idx="0">
                  <c:v>5.3245672369291892</c:v>
                </c:pt>
                <c:pt idx="1">
                  <c:v>4.7329486550481681</c:v>
                </c:pt>
                <c:pt idx="2">
                  <c:v>4.0009214753805153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504128"/>
        <c:axId val="309504688"/>
      </c:scatterChart>
      <c:valAx>
        <c:axId val="309504128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800"/>
                  <a:t>Bimaterial Strip Length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04688"/>
        <c:crosses val="autoZero"/>
        <c:crossBetween val="midCat"/>
      </c:valAx>
      <c:valAx>
        <c:axId val="309504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(grams)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04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</a:t>
            </a:r>
            <a:r>
              <a:rPr lang="en-CA"/>
              <a:t>T vs Length required for "90 degree" bend (0.08mm thick)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'Corner hinges'!$A$17</c:f>
              <c:strCache>
                <c:ptCount val="1"/>
                <c:pt idx="0">
                  <c:v>Low-end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forward val="200"/>
            <c:backward val="200"/>
            <c:dispRSqr val="0"/>
            <c:dispEq val="0"/>
          </c:trendline>
          <c:xVal>
            <c:numRef>
              <c:f>'Corner hinges'!$B$17:$B$21</c:f>
              <c:numCache>
                <c:formatCode>0</c:formatCode>
                <c:ptCount val="5"/>
                <c:pt idx="0">
                  <c:v>1352.5340812182699</c:v>
                </c:pt>
                <c:pt idx="1">
                  <c:v>676.26704060913471</c:v>
                </c:pt>
                <c:pt idx="2">
                  <c:v>450.84469373942335</c:v>
                </c:pt>
                <c:pt idx="3">
                  <c:v>338.13352030456758</c:v>
                </c:pt>
                <c:pt idx="4">
                  <c:v>270.50681624365376</c:v>
                </c:pt>
              </c:numCache>
            </c:numRef>
          </c:xVal>
          <c:yVal>
            <c:numRef>
              <c:f>'Corner hinges'!$D$17:$D$21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'Corner hinges'!$A$22</c:f>
              <c:strCache>
                <c:ptCount val="1"/>
                <c:pt idx="0">
                  <c:v>High-end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forward val="900"/>
            <c:backward val="100"/>
            <c:dispRSqr val="0"/>
            <c:dispEq val="0"/>
          </c:trendline>
          <c:xVal>
            <c:numRef>
              <c:f>'Corner hinges'!$B$22:$B$26</c:f>
              <c:numCache>
                <c:formatCode>0</c:formatCode>
                <c:ptCount val="5"/>
                <c:pt idx="0">
                  <c:v>637.25163442014662</c:v>
                </c:pt>
                <c:pt idx="1">
                  <c:v>318.62581721007331</c:v>
                </c:pt>
                <c:pt idx="2">
                  <c:v>212.41721147338205</c:v>
                </c:pt>
                <c:pt idx="3">
                  <c:v>159.31290860503645</c:v>
                </c:pt>
                <c:pt idx="4">
                  <c:v>127.45032688402907</c:v>
                </c:pt>
              </c:numCache>
            </c:numRef>
          </c:xVal>
          <c:yVal>
            <c:numRef>
              <c:f>'Corner hinges'!$D$22:$D$26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508608"/>
        <c:axId val="309509168"/>
      </c:scatterChart>
      <c:valAx>
        <c:axId val="309508608"/>
        <c:scaling>
          <c:orientation val="minMax"/>
          <c:max val="1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800"/>
                  <a:t>Bimaterial Strip Length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09168"/>
        <c:crosses val="autoZero"/>
        <c:crossBetween val="midCat"/>
        <c:majorUnit val="200"/>
      </c:valAx>
      <c:valAx>
        <c:axId val="30950916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Delta T (K)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0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</a:t>
            </a:r>
            <a:r>
              <a:rPr lang="en-CA"/>
              <a:t>T vs Length required for "90 degree" bend (0.5mm thick)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'Corner hinges'!$A$27</c:f>
              <c:strCache>
                <c:ptCount val="1"/>
                <c:pt idx="0">
                  <c:v>Low-end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forward val="200"/>
            <c:backward val="500"/>
            <c:dispRSqr val="0"/>
            <c:dispEq val="0"/>
          </c:trendline>
          <c:xVal>
            <c:numRef>
              <c:f>'Corner hinges'!$B$27:$B$31</c:f>
              <c:numCache>
                <c:formatCode>0</c:formatCode>
                <c:ptCount val="5"/>
                <c:pt idx="0">
                  <c:v>8453.3380076141857</c:v>
                </c:pt>
                <c:pt idx="1">
                  <c:v>4226.6690038070938</c:v>
                </c:pt>
                <c:pt idx="2">
                  <c:v>2113.3345019035464</c:v>
                </c:pt>
                <c:pt idx="3">
                  <c:v>1408.8896679356976</c:v>
                </c:pt>
                <c:pt idx="4">
                  <c:v>1056.6672509517732</c:v>
                </c:pt>
              </c:numCache>
            </c:numRef>
          </c:xVal>
          <c:yVal>
            <c:numRef>
              <c:f>'Corner hinges'!$D$27:$D$31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'Corner hinges'!$A$32</c:f>
              <c:strCache>
                <c:ptCount val="1"/>
                <c:pt idx="0">
                  <c:v>High-end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forward val="900"/>
            <c:backward val="200"/>
            <c:dispRSqr val="0"/>
            <c:dispEq val="0"/>
          </c:trendline>
          <c:xVal>
            <c:numRef>
              <c:f>'Corner hinges'!$B$32:$B$36</c:f>
              <c:numCache>
                <c:formatCode>0</c:formatCode>
                <c:ptCount val="5"/>
                <c:pt idx="0">
                  <c:v>3982.8227151259161</c:v>
                </c:pt>
                <c:pt idx="1">
                  <c:v>1991.4113575629581</c:v>
                </c:pt>
                <c:pt idx="2">
                  <c:v>995.70567878147858</c:v>
                </c:pt>
                <c:pt idx="3">
                  <c:v>663.80378585431913</c:v>
                </c:pt>
                <c:pt idx="4">
                  <c:v>497.8528393907394</c:v>
                </c:pt>
              </c:numCache>
            </c:numRef>
          </c:xVal>
          <c:yVal>
            <c:numRef>
              <c:f>'Corner hinges'!$D$32:$D$36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512528"/>
        <c:axId val="309513088"/>
      </c:scatterChart>
      <c:valAx>
        <c:axId val="309512528"/>
        <c:scaling>
          <c:orientation val="minMax"/>
          <c:max val="14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800"/>
                  <a:t>Bimaterial Strip Length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13088"/>
        <c:crosses val="autoZero"/>
        <c:crossBetween val="midCat"/>
      </c:valAx>
      <c:valAx>
        <c:axId val="30951308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Delta T (K)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12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Force vs Length required for "90 degree" bend (</a:t>
            </a:r>
            <a:r>
              <a:rPr lang="en-CA" baseline="0"/>
              <a:t>30mm width</a:t>
            </a:r>
            <a:r>
              <a:rPr lang="en-CA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'Corner hinges'!$A$41</c:f>
              <c:strCache>
                <c:ptCount val="1"/>
                <c:pt idx="0">
                  <c:v>High-end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5"/>
            <c:backward val="100"/>
            <c:dispRSqr val="0"/>
            <c:dispEq val="0"/>
          </c:trendline>
          <c:xVal>
            <c:numRef>
              <c:f>'Corner hinges'!$B$41:$B$44</c:f>
              <c:numCache>
                <c:formatCode>0</c:formatCode>
                <c:ptCount val="4"/>
                <c:pt idx="0">
                  <c:v>225</c:v>
                </c:pt>
                <c:pt idx="1">
                  <c:v>175</c:v>
                </c:pt>
                <c:pt idx="2">
                  <c:v>149.35585181722178</c:v>
                </c:pt>
                <c:pt idx="3">
                  <c:v>100</c:v>
                </c:pt>
              </c:numCache>
            </c:numRef>
          </c:xVal>
          <c:yVal>
            <c:numRef>
              <c:f>'Corner hinges'!$K$41:$K$44</c:f>
              <c:numCache>
                <c:formatCode>0.000</c:formatCode>
                <c:ptCount val="4"/>
                <c:pt idx="0">
                  <c:v>78.032015381283443</c:v>
                </c:pt>
                <c:pt idx="1">
                  <c:v>60.691567518776019</c:v>
                </c:pt>
                <c:pt idx="2">
                  <c:v>51.797947227938423</c:v>
                </c:pt>
                <c:pt idx="3">
                  <c:v>34.680895725014857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'Corner hinges'!$A$46</c:f>
              <c:strCache>
                <c:ptCount val="1"/>
                <c:pt idx="0">
                  <c:v>Low-end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5"/>
            <c:backward val="169"/>
            <c:dispRSqr val="0"/>
            <c:dispEq val="0"/>
          </c:trendline>
          <c:xVal>
            <c:numRef>
              <c:f>'Corner hinges'!$B$46:$B$48</c:f>
              <c:numCache>
                <c:formatCode>0</c:formatCode>
                <c:ptCount val="3"/>
                <c:pt idx="0">
                  <c:v>225</c:v>
                </c:pt>
                <c:pt idx="1">
                  <c:v>200</c:v>
                </c:pt>
                <c:pt idx="2">
                  <c:v>169.06676015228373</c:v>
                </c:pt>
              </c:numCache>
            </c:numRef>
          </c:xVal>
          <c:yVal>
            <c:numRef>
              <c:f>'Corner hinges'!$K$46:$K$48</c:f>
              <c:numCache>
                <c:formatCode>0.000</c:formatCode>
                <c:ptCount val="3"/>
                <c:pt idx="0">
                  <c:v>10.821321710983982</c:v>
                </c:pt>
                <c:pt idx="1">
                  <c:v>9.6189526319857581</c:v>
                </c:pt>
                <c:pt idx="2">
                  <c:v>8.1312257877405774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174512"/>
        <c:axId val="309175072"/>
      </c:scatterChart>
      <c:valAx>
        <c:axId val="309174512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800"/>
                  <a:t>Bimaterial Strip Length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175072"/>
        <c:crosses val="autoZero"/>
        <c:crossBetween val="midCat"/>
      </c:valAx>
      <c:valAx>
        <c:axId val="309175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(grams)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174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Force vs Length required for "90 degree" bend (</a:t>
            </a:r>
            <a:r>
              <a:rPr lang="en-CA" baseline="0"/>
              <a:t>30mm width</a:t>
            </a:r>
            <a:r>
              <a:rPr lang="en-CA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'Corner hinges'!$A$41</c:f>
              <c:strCache>
                <c:ptCount val="1"/>
                <c:pt idx="0">
                  <c:v>High-end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5"/>
            <c:backward val="100"/>
            <c:dispRSqr val="0"/>
            <c:dispEq val="0"/>
          </c:trendline>
          <c:xVal>
            <c:numRef>
              <c:f>'Corner hinges'!$B$41:$B$44</c:f>
              <c:numCache>
                <c:formatCode>0</c:formatCode>
                <c:ptCount val="4"/>
                <c:pt idx="0">
                  <c:v>225</c:v>
                </c:pt>
                <c:pt idx="1">
                  <c:v>175</c:v>
                </c:pt>
                <c:pt idx="2">
                  <c:v>149.35585181722178</c:v>
                </c:pt>
                <c:pt idx="3">
                  <c:v>100</c:v>
                </c:pt>
              </c:numCache>
            </c:numRef>
          </c:xVal>
          <c:yVal>
            <c:numRef>
              <c:f>'Corner hinges'!$K$41:$K$44</c:f>
              <c:numCache>
                <c:formatCode>0.000</c:formatCode>
                <c:ptCount val="4"/>
                <c:pt idx="0">
                  <c:v>78.032015381283443</c:v>
                </c:pt>
                <c:pt idx="1">
                  <c:v>60.691567518776019</c:v>
                </c:pt>
                <c:pt idx="2">
                  <c:v>51.797947227938423</c:v>
                </c:pt>
                <c:pt idx="3">
                  <c:v>34.680895725014857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'Corner hinges'!$A$46</c:f>
              <c:strCache>
                <c:ptCount val="1"/>
                <c:pt idx="0">
                  <c:v>Low-end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5"/>
            <c:backward val="169"/>
            <c:dispRSqr val="0"/>
            <c:dispEq val="0"/>
          </c:trendline>
          <c:xVal>
            <c:numRef>
              <c:f>'Corner hinges'!$B$46:$B$48</c:f>
              <c:numCache>
                <c:formatCode>0</c:formatCode>
                <c:ptCount val="3"/>
                <c:pt idx="0">
                  <c:v>225</c:v>
                </c:pt>
                <c:pt idx="1">
                  <c:v>200</c:v>
                </c:pt>
                <c:pt idx="2">
                  <c:v>169.06676015228373</c:v>
                </c:pt>
              </c:numCache>
            </c:numRef>
          </c:xVal>
          <c:yVal>
            <c:numRef>
              <c:f>'Corner hinges'!$K$46:$K$48</c:f>
              <c:numCache>
                <c:formatCode>0.000</c:formatCode>
                <c:ptCount val="3"/>
                <c:pt idx="0">
                  <c:v>10.821321710983982</c:v>
                </c:pt>
                <c:pt idx="1">
                  <c:v>9.6189526319857581</c:v>
                </c:pt>
                <c:pt idx="2">
                  <c:v>8.1312257877405774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178432"/>
        <c:axId val="309178992"/>
      </c:scatterChart>
      <c:valAx>
        <c:axId val="309178432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800"/>
                  <a:t>Bimaterial Strip Length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178992"/>
        <c:crosses val="autoZero"/>
        <c:crossBetween val="midCat"/>
      </c:valAx>
      <c:valAx>
        <c:axId val="3091789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(grams)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178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chart" Target="../charts/chart7.xml"/><Relationship Id="rId5" Type="http://schemas.openxmlformats.org/officeDocument/2006/relationships/image" Target="../media/image3.png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16</xdr:row>
      <xdr:rowOff>4762</xdr:rowOff>
    </xdr:from>
    <xdr:to>
      <xdr:col>15</xdr:col>
      <xdr:colOff>1056703</xdr:colOff>
      <xdr:row>25</xdr:row>
      <xdr:rowOff>180976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523875</xdr:colOff>
      <xdr:row>3</xdr:row>
      <xdr:rowOff>38100</xdr:rowOff>
    </xdr:from>
    <xdr:to>
      <xdr:col>4</xdr:col>
      <xdr:colOff>142875</xdr:colOff>
      <xdr:row>3</xdr:row>
      <xdr:rowOff>390525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857250"/>
          <a:ext cx="9144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161925</xdr:colOff>
      <xdr:row>3</xdr:row>
      <xdr:rowOff>36075</xdr:rowOff>
    </xdr:from>
    <xdr:to>
      <xdr:col>9</xdr:col>
      <xdr:colOff>476251</xdr:colOff>
      <xdr:row>3</xdr:row>
      <xdr:rowOff>392551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864750"/>
          <a:ext cx="923926" cy="356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9525</xdr:colOff>
      <xdr:row>26</xdr:row>
      <xdr:rowOff>1</xdr:rowOff>
    </xdr:from>
    <xdr:to>
      <xdr:col>15</xdr:col>
      <xdr:colOff>1066800</xdr:colOff>
      <xdr:row>35</xdr:row>
      <xdr:rowOff>182797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0</xdr:colOff>
      <xdr:row>7</xdr:row>
      <xdr:rowOff>0</xdr:rowOff>
    </xdr:from>
    <xdr:to>
      <xdr:col>15</xdr:col>
      <xdr:colOff>466725</xdr:colOff>
      <xdr:row>11</xdr:row>
      <xdr:rowOff>19050</xdr:rowOff>
    </xdr:to>
    <xdr:pic>
      <xdr:nvPicPr>
        <xdr:cNvPr id="11" name="image01.png"/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96125" y="1809750"/>
          <a:ext cx="2295525" cy="781050"/>
        </a:xfrm>
        <a:prstGeom prst="rect">
          <a:avLst/>
        </a:prstGeom>
      </xdr:spPr>
    </xdr:pic>
    <xdr:clientData/>
  </xdr:twoCellAnchor>
  <xdr:twoCellAnchor>
    <xdr:from>
      <xdr:col>11</xdr:col>
      <xdr:colOff>57150</xdr:colOff>
      <xdr:row>38</xdr:row>
      <xdr:rowOff>38099</xdr:rowOff>
    </xdr:from>
    <xdr:to>
      <xdr:col>15</xdr:col>
      <xdr:colOff>1104327</xdr:colOff>
      <xdr:row>48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9</xdr:row>
      <xdr:rowOff>0</xdr:rowOff>
    </xdr:from>
    <xdr:to>
      <xdr:col>4</xdr:col>
      <xdr:colOff>4314</xdr:colOff>
      <xdr:row>12</xdr:row>
      <xdr:rowOff>76200</xdr:rowOff>
    </xdr:to>
    <xdr:pic>
      <xdr:nvPicPr>
        <xdr:cNvPr id="3" name="image01.png"/>
        <xdr:cNvPicPr/>
      </xdr:nvPicPr>
      <xdr:blipFill rotWithShape="1">
        <a:blip xmlns:r="http://schemas.openxmlformats.org/officeDocument/2006/relationships" r:embed="rId1"/>
        <a:srcRect l="2116" r="2116"/>
        <a:stretch/>
      </xdr:blipFill>
      <xdr:spPr>
        <a:xfrm>
          <a:off x="609599" y="1657350"/>
          <a:ext cx="1833115" cy="647700"/>
        </a:xfrm>
        <a:prstGeom prst="rect">
          <a:avLst/>
        </a:prstGeom>
      </xdr:spPr>
    </xdr:pic>
    <xdr:clientData/>
  </xdr:twoCellAnchor>
  <xdr:twoCellAnchor>
    <xdr:from>
      <xdr:col>10</xdr:col>
      <xdr:colOff>104775</xdr:colOff>
      <xdr:row>15</xdr:row>
      <xdr:rowOff>133350</xdr:rowOff>
    </xdr:from>
    <xdr:to>
      <xdr:col>19</xdr:col>
      <xdr:colOff>109454</xdr:colOff>
      <xdr:row>32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371476</xdr:colOff>
      <xdr:row>16</xdr:row>
      <xdr:rowOff>171450</xdr:rowOff>
    </xdr:from>
    <xdr:to>
      <xdr:col>7</xdr:col>
      <xdr:colOff>323850</xdr:colOff>
      <xdr:row>23</xdr:row>
      <xdr:rowOff>9524</xdr:rowOff>
    </xdr:to>
    <xdr:sp macro="" textlink="">
      <xdr:nvSpPr>
        <xdr:cNvPr id="18" name="Rectangle 17"/>
        <xdr:cNvSpPr/>
      </xdr:nvSpPr>
      <xdr:spPr>
        <a:xfrm>
          <a:off x="3000376" y="3162300"/>
          <a:ext cx="1171574" cy="1171574"/>
        </a:xfrm>
        <a:prstGeom prst="rect">
          <a:avLst/>
        </a:prstGeom>
        <a:solidFill>
          <a:schemeClr val="bg1"/>
        </a:solidFill>
        <a:ln w="28575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95805</xdr:colOff>
      <xdr:row>19</xdr:row>
      <xdr:rowOff>29239</xdr:rowOff>
    </xdr:from>
    <xdr:to>
      <xdr:col>6</xdr:col>
      <xdr:colOff>449179</xdr:colOff>
      <xdr:row>24</xdr:row>
      <xdr:rowOff>39713</xdr:rowOff>
    </xdr:to>
    <xdr:sp macro="" textlink="">
      <xdr:nvSpPr>
        <xdr:cNvPr id="19" name="Arc 18"/>
        <xdr:cNvSpPr/>
      </xdr:nvSpPr>
      <xdr:spPr>
        <a:xfrm rot="20100000">
          <a:off x="2724705" y="3591589"/>
          <a:ext cx="962974" cy="962974"/>
        </a:xfrm>
        <a:prstGeom prst="arc">
          <a:avLst>
            <a:gd name="adj1" fmla="val 16200000"/>
            <a:gd name="adj2" fmla="val 3543290"/>
          </a:avLst>
        </a:prstGeom>
        <a:noFill/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219630</xdr:colOff>
      <xdr:row>15</xdr:row>
      <xdr:rowOff>134014</xdr:rowOff>
    </xdr:from>
    <xdr:to>
      <xdr:col>7</xdr:col>
      <xdr:colOff>573004</xdr:colOff>
      <xdr:row>20</xdr:row>
      <xdr:rowOff>144488</xdr:rowOff>
    </xdr:to>
    <xdr:sp macro="" textlink="">
      <xdr:nvSpPr>
        <xdr:cNvPr id="24" name="Arc 23"/>
        <xdr:cNvSpPr/>
      </xdr:nvSpPr>
      <xdr:spPr>
        <a:xfrm rot="9131119">
          <a:off x="3458130" y="2934364"/>
          <a:ext cx="962974" cy="962974"/>
        </a:xfrm>
        <a:prstGeom prst="arc">
          <a:avLst>
            <a:gd name="adj1" fmla="val 16200000"/>
            <a:gd name="adj2" fmla="val 3543290"/>
          </a:avLst>
        </a:prstGeom>
        <a:noFill/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352425</xdr:colOff>
      <xdr:row>18</xdr:row>
      <xdr:rowOff>133350</xdr:rowOff>
    </xdr:from>
    <xdr:to>
      <xdr:col>6</xdr:col>
      <xdr:colOff>600075</xdr:colOff>
      <xdr:row>19</xdr:row>
      <xdr:rowOff>180975</xdr:rowOff>
    </xdr:to>
    <xdr:cxnSp macro="">
      <xdr:nvCxnSpPr>
        <xdr:cNvPr id="26" name="Straight Arrow Connector 25"/>
        <xdr:cNvCxnSpPr/>
      </xdr:nvCxnSpPr>
      <xdr:spPr>
        <a:xfrm flipV="1">
          <a:off x="3590925" y="3505200"/>
          <a:ext cx="247650" cy="2381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6</xdr:col>
      <xdr:colOff>419100</xdr:colOff>
      <xdr:row>19</xdr:row>
      <xdr:rowOff>0</xdr:rowOff>
    </xdr:from>
    <xdr:ext cx="266291" cy="264560"/>
    <xdr:sp macro="" textlink="">
      <xdr:nvSpPr>
        <xdr:cNvPr id="27" name="TextBox 26"/>
        <xdr:cNvSpPr txBox="1"/>
      </xdr:nvSpPr>
      <xdr:spPr>
        <a:xfrm>
          <a:off x="3657600" y="3562350"/>
          <a:ext cx="266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>
              <a:solidFill>
                <a:schemeClr val="accent6"/>
              </a:solidFill>
            </a:rPr>
            <a:t>A</a:t>
          </a:r>
        </a:p>
      </xdr:txBody>
    </xdr:sp>
    <xdr:clientData/>
  </xdr:oneCellAnchor>
  <xdr:twoCellAnchor>
    <xdr:from>
      <xdr:col>6</xdr:col>
      <xdr:colOff>298970</xdr:colOff>
      <xdr:row>16</xdr:row>
      <xdr:rowOff>165764</xdr:rowOff>
    </xdr:from>
    <xdr:to>
      <xdr:col>7</xdr:col>
      <xdr:colOff>325710</xdr:colOff>
      <xdr:row>20</xdr:row>
      <xdr:rowOff>79333</xdr:rowOff>
    </xdr:to>
    <xdr:cxnSp macro="">
      <xdr:nvCxnSpPr>
        <xdr:cNvPr id="31" name="Straight Arrow Connector 30"/>
        <xdr:cNvCxnSpPr/>
      </xdr:nvCxnSpPr>
      <xdr:spPr>
        <a:xfrm>
          <a:off x="3537470" y="3156614"/>
          <a:ext cx="636340" cy="67556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7</xdr:col>
      <xdr:colOff>47625</xdr:colOff>
      <xdr:row>17</xdr:row>
      <xdr:rowOff>0</xdr:rowOff>
    </xdr:from>
    <xdr:ext cx="259879" cy="264560"/>
    <xdr:sp macro="" textlink="">
      <xdr:nvSpPr>
        <xdr:cNvPr id="34" name="TextBox 33"/>
        <xdr:cNvSpPr txBox="1"/>
      </xdr:nvSpPr>
      <xdr:spPr>
        <a:xfrm>
          <a:off x="3895725" y="3181350"/>
          <a:ext cx="25987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>
              <a:solidFill>
                <a:schemeClr val="accent2"/>
              </a:solidFill>
            </a:rPr>
            <a:t>C</a:t>
          </a:r>
        </a:p>
      </xdr:txBody>
    </xdr:sp>
    <xdr:clientData/>
  </xdr:oneCellAnchor>
  <xdr:twoCellAnchor>
    <xdr:from>
      <xdr:col>5</xdr:col>
      <xdr:colOff>304800</xdr:colOff>
      <xdr:row>17</xdr:row>
      <xdr:rowOff>0</xdr:rowOff>
    </xdr:from>
    <xdr:to>
      <xdr:col>5</xdr:col>
      <xdr:colOff>304800</xdr:colOff>
      <xdr:row>23</xdr:row>
      <xdr:rowOff>19050</xdr:rowOff>
    </xdr:to>
    <xdr:cxnSp macro="">
      <xdr:nvCxnSpPr>
        <xdr:cNvPr id="36" name="Straight Arrow Connector 35"/>
        <xdr:cNvCxnSpPr/>
      </xdr:nvCxnSpPr>
      <xdr:spPr>
        <a:xfrm>
          <a:off x="2933700" y="3181350"/>
          <a:ext cx="0" cy="11620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9525</xdr:colOff>
      <xdr:row>19</xdr:row>
      <xdr:rowOff>57150</xdr:rowOff>
    </xdr:from>
    <xdr:ext cx="310150" cy="264560"/>
    <xdr:sp macro="" textlink="">
      <xdr:nvSpPr>
        <xdr:cNvPr id="38" name="TextBox 37"/>
        <xdr:cNvSpPr txBox="1"/>
      </xdr:nvSpPr>
      <xdr:spPr>
        <a:xfrm>
          <a:off x="2638425" y="3619500"/>
          <a:ext cx="3101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/>
            <a:t>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57150</xdr:rowOff>
    </xdr:from>
    <xdr:to>
      <xdr:col>12</xdr:col>
      <xdr:colOff>104775</xdr:colOff>
      <xdr:row>17</xdr:row>
      <xdr:rowOff>28575</xdr:rowOff>
    </xdr:to>
    <xdr:pic>
      <xdr:nvPicPr>
        <xdr:cNvPr id="3" name="Picture 2" descr="geometry diagra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57150"/>
          <a:ext cx="4362450" cy="320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16</xdr:row>
      <xdr:rowOff>4762</xdr:rowOff>
    </xdr:from>
    <xdr:to>
      <xdr:col>15</xdr:col>
      <xdr:colOff>1056703</xdr:colOff>
      <xdr:row>25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523875</xdr:colOff>
      <xdr:row>3</xdr:row>
      <xdr:rowOff>38100</xdr:rowOff>
    </xdr:from>
    <xdr:to>
      <xdr:col>4</xdr:col>
      <xdr:colOff>142875</xdr:colOff>
      <xdr:row>3</xdr:row>
      <xdr:rowOff>390525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866775"/>
          <a:ext cx="9144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161925</xdr:colOff>
      <xdr:row>3</xdr:row>
      <xdr:rowOff>36075</xdr:rowOff>
    </xdr:from>
    <xdr:to>
      <xdr:col>9</xdr:col>
      <xdr:colOff>476251</xdr:colOff>
      <xdr:row>3</xdr:row>
      <xdr:rowOff>392551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864750"/>
          <a:ext cx="923926" cy="356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9525</xdr:colOff>
      <xdr:row>26</xdr:row>
      <xdr:rowOff>1</xdr:rowOff>
    </xdr:from>
    <xdr:to>
      <xdr:col>15</xdr:col>
      <xdr:colOff>1066800</xdr:colOff>
      <xdr:row>35</xdr:row>
      <xdr:rowOff>182797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0</xdr:colOff>
      <xdr:row>7</xdr:row>
      <xdr:rowOff>0</xdr:rowOff>
    </xdr:from>
    <xdr:to>
      <xdr:col>15</xdr:col>
      <xdr:colOff>466725</xdr:colOff>
      <xdr:row>11</xdr:row>
      <xdr:rowOff>19050</xdr:rowOff>
    </xdr:to>
    <xdr:pic>
      <xdr:nvPicPr>
        <xdr:cNvPr id="6" name="image01.png"/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96125" y="1809750"/>
          <a:ext cx="2295525" cy="781050"/>
        </a:xfrm>
        <a:prstGeom prst="rect">
          <a:avLst/>
        </a:prstGeom>
      </xdr:spPr>
    </xdr:pic>
    <xdr:clientData/>
  </xdr:twoCellAnchor>
  <xdr:twoCellAnchor>
    <xdr:from>
      <xdr:col>11</xdr:col>
      <xdr:colOff>57150</xdr:colOff>
      <xdr:row>38</xdr:row>
      <xdr:rowOff>38099</xdr:rowOff>
    </xdr:from>
    <xdr:to>
      <xdr:col>15</xdr:col>
      <xdr:colOff>1104327</xdr:colOff>
      <xdr:row>48</xdr:row>
      <xdr:rowOff>161925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361343</xdr:colOff>
      <xdr:row>13</xdr:row>
      <xdr:rowOff>76200</xdr:rowOff>
    </xdr:from>
    <xdr:to>
      <xdr:col>7</xdr:col>
      <xdr:colOff>218467</xdr:colOff>
      <xdr:row>19</xdr:row>
      <xdr:rowOff>9524</xdr:rowOff>
    </xdr:to>
    <xdr:sp macro="" textlink="">
      <xdr:nvSpPr>
        <xdr:cNvPr id="4" name="Rectangle 3"/>
        <xdr:cNvSpPr/>
      </xdr:nvSpPr>
      <xdr:spPr>
        <a:xfrm>
          <a:off x="2985784" y="2518248"/>
          <a:ext cx="1073082" cy="1088483"/>
        </a:xfrm>
        <a:prstGeom prst="rect">
          <a:avLst/>
        </a:prstGeom>
        <a:solidFill>
          <a:schemeClr val="bg1"/>
        </a:solidFill>
        <a:ln w="28575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609599</xdr:colOff>
      <xdr:row>9</xdr:row>
      <xdr:rowOff>0</xdr:rowOff>
    </xdr:from>
    <xdr:to>
      <xdr:col>4</xdr:col>
      <xdr:colOff>4314</xdr:colOff>
      <xdr:row>12</xdr:row>
      <xdr:rowOff>76200</xdr:rowOff>
    </xdr:to>
    <xdr:pic>
      <xdr:nvPicPr>
        <xdr:cNvPr id="2" name="image01.png"/>
        <xdr:cNvPicPr/>
      </xdr:nvPicPr>
      <xdr:blipFill rotWithShape="1">
        <a:blip xmlns:r="http://schemas.openxmlformats.org/officeDocument/2006/relationships" r:embed="rId1"/>
        <a:srcRect l="2116" r="2116"/>
        <a:stretch/>
      </xdr:blipFill>
      <xdr:spPr>
        <a:xfrm>
          <a:off x="609599" y="1657350"/>
          <a:ext cx="1833115" cy="647700"/>
        </a:xfrm>
        <a:prstGeom prst="rect">
          <a:avLst/>
        </a:prstGeom>
      </xdr:spPr>
    </xdr:pic>
    <xdr:clientData/>
  </xdr:twoCellAnchor>
  <xdr:twoCellAnchor>
    <xdr:from>
      <xdr:col>5</xdr:col>
      <xdr:colOff>468224</xdr:colOff>
      <xdr:row>13</xdr:row>
      <xdr:rowOff>87333</xdr:rowOff>
    </xdr:from>
    <xdr:to>
      <xdr:col>7</xdr:col>
      <xdr:colOff>211998</xdr:colOff>
      <xdr:row>18</xdr:row>
      <xdr:rowOff>97807</xdr:rowOff>
    </xdr:to>
    <xdr:sp macro="" textlink="">
      <xdr:nvSpPr>
        <xdr:cNvPr id="6" name="Arc 5"/>
        <xdr:cNvSpPr/>
      </xdr:nvSpPr>
      <xdr:spPr>
        <a:xfrm>
          <a:off x="3094035" y="2490036"/>
          <a:ext cx="962287" cy="954393"/>
        </a:xfrm>
        <a:prstGeom prst="arc">
          <a:avLst>
            <a:gd name="adj1" fmla="val 16200000"/>
            <a:gd name="adj2" fmla="val 21564039"/>
          </a:avLst>
        </a:prstGeom>
        <a:solidFill>
          <a:sysClr val="window" lastClr="FFFFFF"/>
        </a:solidFill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372420</xdr:colOff>
      <xdr:row>13</xdr:row>
      <xdr:rowOff>188783</xdr:rowOff>
    </xdr:from>
    <xdr:to>
      <xdr:col>7</xdr:col>
      <xdr:colOff>116194</xdr:colOff>
      <xdr:row>19</xdr:row>
      <xdr:rowOff>10474</xdr:rowOff>
    </xdr:to>
    <xdr:sp macro="" textlink="">
      <xdr:nvSpPr>
        <xdr:cNvPr id="13" name="Arc 12"/>
        <xdr:cNvSpPr/>
      </xdr:nvSpPr>
      <xdr:spPr>
        <a:xfrm rot="10800000">
          <a:off x="2998231" y="2591486"/>
          <a:ext cx="962287" cy="954393"/>
        </a:xfrm>
        <a:prstGeom prst="arc">
          <a:avLst>
            <a:gd name="adj1" fmla="val 16200000"/>
            <a:gd name="adj2" fmla="val 24978"/>
          </a:avLst>
        </a:prstGeom>
        <a:solidFill>
          <a:sysClr val="window" lastClr="FFFFFF"/>
        </a:solidFill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495300</xdr:colOff>
      <xdr:row>17</xdr:row>
      <xdr:rowOff>95250</xdr:rowOff>
    </xdr:from>
    <xdr:to>
      <xdr:col>6</xdr:col>
      <xdr:colOff>29700</xdr:colOff>
      <xdr:row>18</xdr:row>
      <xdr:rowOff>48750</xdr:rowOff>
    </xdr:to>
    <xdr:cxnSp macro="">
      <xdr:nvCxnSpPr>
        <xdr:cNvPr id="7" name="Straight Arrow Connector 6"/>
        <xdr:cNvCxnSpPr/>
      </xdr:nvCxnSpPr>
      <xdr:spPr>
        <a:xfrm flipV="1">
          <a:off x="3124200" y="3276600"/>
          <a:ext cx="144000" cy="14400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5</xdr:col>
      <xdr:colOff>581025</xdr:colOff>
      <xdr:row>17</xdr:row>
      <xdr:rowOff>114300</xdr:rowOff>
    </xdr:from>
    <xdr:ext cx="266291" cy="264560"/>
    <xdr:sp macro="" textlink="">
      <xdr:nvSpPr>
        <xdr:cNvPr id="8" name="TextBox 7"/>
        <xdr:cNvSpPr txBox="1"/>
      </xdr:nvSpPr>
      <xdr:spPr>
        <a:xfrm>
          <a:off x="3209925" y="3295650"/>
          <a:ext cx="266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>
              <a:solidFill>
                <a:schemeClr val="accent6"/>
              </a:solidFill>
            </a:rPr>
            <a:t>A</a:t>
          </a:r>
        </a:p>
      </xdr:txBody>
    </xdr:sp>
    <xdr:clientData/>
  </xdr:oneCellAnchor>
  <xdr:twoCellAnchor>
    <xdr:from>
      <xdr:col>10</xdr:col>
      <xdr:colOff>0</xdr:colOff>
      <xdr:row>16</xdr:row>
      <xdr:rowOff>0</xdr:rowOff>
    </xdr:from>
    <xdr:to>
      <xdr:col>18</xdr:col>
      <xdr:colOff>559860</xdr:colOff>
      <xdr:row>32</xdr:row>
      <xdr:rowOff>171450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zoomScale="90" zoomScaleNormal="100" workbookViewId="0">
      <pane ySplit="1" topLeftCell="A2" activePane="bottomLeft" state="frozen"/>
      <selection pane="bottomLeft" activeCell="B19" sqref="B19"/>
    </sheetView>
  </sheetViews>
  <sheetFormatPr defaultRowHeight="15" x14ac:dyDescent="0.25"/>
  <cols>
    <col min="3" max="3" width="10.28515625" bestFit="1" customWidth="1"/>
    <col min="4" max="4" width="9.140625" customWidth="1"/>
    <col min="5" max="5" width="10.140625" customWidth="1"/>
    <col min="7" max="7" width="3.7109375" customWidth="1"/>
    <col min="11" max="11" width="9.140625" customWidth="1"/>
    <col min="16" max="16" width="16.7109375" bestFit="1" customWidth="1"/>
    <col min="17" max="17" width="10.28515625" bestFit="1" customWidth="1"/>
  </cols>
  <sheetData>
    <row r="1" spans="1:17" ht="17.25" x14ac:dyDescent="0.25">
      <c r="B1" s="3" t="s">
        <v>1</v>
      </c>
      <c r="C1" s="3" t="s">
        <v>0</v>
      </c>
      <c r="D1" s="3" t="s">
        <v>9</v>
      </c>
      <c r="E1" s="3" t="s">
        <v>10</v>
      </c>
      <c r="F1" s="3" t="s">
        <v>12</v>
      </c>
      <c r="G1" s="6"/>
      <c r="H1" s="3" t="s">
        <v>13</v>
      </c>
      <c r="I1" s="3" t="s">
        <v>11</v>
      </c>
      <c r="J1" s="3" t="s">
        <v>3</v>
      </c>
      <c r="K1" s="3" t="s">
        <v>2</v>
      </c>
      <c r="M1" s="47" t="s">
        <v>22</v>
      </c>
      <c r="N1" s="48" t="s">
        <v>23</v>
      </c>
      <c r="O1" s="49" t="s">
        <v>24</v>
      </c>
      <c r="P1" s="29" t="s">
        <v>25</v>
      </c>
      <c r="Q1" s="50" t="s">
        <v>26</v>
      </c>
    </row>
    <row r="2" spans="1:17" ht="15.75" x14ac:dyDescent="0.25">
      <c r="B2" s="91" t="s">
        <v>31</v>
      </c>
      <c r="C2" s="91"/>
      <c r="D2" s="91"/>
      <c r="E2" s="91"/>
      <c r="F2" s="91"/>
      <c r="G2" s="91"/>
      <c r="H2" s="91"/>
      <c r="I2" s="91"/>
      <c r="J2" s="91"/>
      <c r="K2" s="91"/>
      <c r="M2" s="91" t="s">
        <v>30</v>
      </c>
      <c r="N2" s="91"/>
      <c r="O2" s="91"/>
      <c r="P2" s="91"/>
      <c r="Q2" s="91"/>
    </row>
    <row r="3" spans="1:17" ht="32.25" customHeight="1" x14ac:dyDescent="0.25">
      <c r="B3" s="17" t="s">
        <v>15</v>
      </c>
      <c r="C3" s="18" t="s">
        <v>29</v>
      </c>
      <c r="D3" s="18" t="s">
        <v>18</v>
      </c>
      <c r="E3" s="18" t="s">
        <v>17</v>
      </c>
      <c r="F3" s="17" t="s">
        <v>16</v>
      </c>
      <c r="G3" s="19"/>
      <c r="H3" s="18" t="s">
        <v>19</v>
      </c>
      <c r="I3" s="17" t="s">
        <v>20</v>
      </c>
      <c r="J3" s="99" t="s">
        <v>21</v>
      </c>
      <c r="K3" s="99"/>
      <c r="M3" s="77" t="s">
        <v>7</v>
      </c>
      <c r="N3" s="92" t="s">
        <v>27</v>
      </c>
      <c r="O3" s="93"/>
    </row>
    <row r="4" spans="1:17" ht="32.25" customHeight="1" x14ac:dyDescent="0.25">
      <c r="B4" s="100"/>
      <c r="C4" s="100"/>
      <c r="D4" s="100"/>
      <c r="E4" s="100"/>
      <c r="F4" s="100"/>
      <c r="G4" s="19"/>
      <c r="H4" s="101"/>
      <c r="I4" s="101"/>
      <c r="J4" s="101"/>
      <c r="K4" s="101"/>
      <c r="M4" s="46" t="s">
        <v>8</v>
      </c>
      <c r="N4" s="94" t="s">
        <v>28</v>
      </c>
      <c r="O4" s="95"/>
    </row>
    <row r="5" spans="1:17" x14ac:dyDescent="0.25">
      <c r="B5" s="98" t="s">
        <v>4</v>
      </c>
      <c r="C5" s="98"/>
      <c r="D5" s="98"/>
      <c r="E5" s="98"/>
      <c r="F5" s="98"/>
      <c r="G5" s="98"/>
      <c r="H5" s="98"/>
      <c r="I5" s="98"/>
      <c r="J5" s="98"/>
      <c r="K5" s="98"/>
    </row>
    <row r="6" spans="1:17" x14ac:dyDescent="0.25">
      <c r="A6" t="s">
        <v>7</v>
      </c>
      <c r="B6" s="9">
        <v>150</v>
      </c>
      <c r="C6" s="15">
        <f>0.5*SQRT((0.5*B6)^2*2)/SIN(RADIANS('Stupid maths'!$B$6)/2)-0.5*SQRT((0.5*B6)^2*2)/TAN(RADIANS('Stupid maths'!$B$6)/2)</f>
        <v>44.287745681392359</v>
      </c>
      <c r="D6" s="2">
        <v>10</v>
      </c>
      <c r="E6" s="4">
        <f>9.8</f>
        <v>9.8000000000000007</v>
      </c>
      <c r="F6" s="11">
        <f>(E6*10^-6*B6^2*D6)/(2*C6)</f>
        <v>2.4894019396052011E-2</v>
      </c>
      <c r="G6" s="7"/>
      <c r="H6" s="5">
        <v>179000</v>
      </c>
      <c r="I6">
        <v>30</v>
      </c>
      <c r="J6" s="20">
        <f>(E6*10^-6*H6*I6*F6^2*D6)/B6</f>
        <v>2.1741982884127529E-3</v>
      </c>
      <c r="K6" s="11">
        <f>J6/0.0098</f>
        <v>0.22185696820538295</v>
      </c>
    </row>
    <row r="7" spans="1:17" x14ac:dyDescent="0.25">
      <c r="A7" t="s">
        <v>8</v>
      </c>
      <c r="B7" s="9">
        <v>150</v>
      </c>
      <c r="C7" s="15">
        <f>0.5*SQRT((0.5*B7)^2*2)/SIN(RADIANS('Stupid maths'!$B$6)/2)-0.5*SQRT((0.5*B7)^2*2)/TAN(RADIANS('Stupid maths'!$B$6)/2)</f>
        <v>44.287745681392359</v>
      </c>
      <c r="D7" s="2">
        <v>10</v>
      </c>
      <c r="E7" s="4">
        <v>20.8</v>
      </c>
      <c r="F7" s="11">
        <f>(E7*10^-6*B7^2*D7)/(2*C7)</f>
        <v>5.2836286065089985E-2</v>
      </c>
      <c r="G7" s="7"/>
      <c r="H7" s="5">
        <v>135000</v>
      </c>
      <c r="I7">
        <v>30</v>
      </c>
      <c r="J7" s="20">
        <f>(E7*10^-6*H7*I7*F7^2*D7)/B7</f>
        <v>1.5678036270853759E-2</v>
      </c>
      <c r="K7" s="12">
        <f>J7/0.0098</f>
        <v>1.5997996194748734</v>
      </c>
    </row>
    <row r="8" spans="1:17" x14ac:dyDescent="0.25">
      <c r="B8" s="98" t="s">
        <v>5</v>
      </c>
      <c r="C8" s="98"/>
      <c r="D8" s="98"/>
      <c r="E8" s="98"/>
      <c r="F8" s="98"/>
      <c r="G8" s="98"/>
      <c r="H8" s="98"/>
      <c r="I8" s="98"/>
      <c r="J8" s="98"/>
      <c r="K8" s="98"/>
    </row>
    <row r="9" spans="1:17" x14ac:dyDescent="0.25">
      <c r="A9" t="s">
        <v>7</v>
      </c>
      <c r="B9" s="9">
        <v>150</v>
      </c>
      <c r="C9" s="15">
        <f>0.5*SQRT((0.5*B9)^2*2)/SIN(RADIANS('Stupid maths'!$B$6)/2)-0.5*SQRT((0.5*B9)^2*2)/TAN(RADIANS('Stupid maths'!$B$6)/2)</f>
        <v>44.287745681392359</v>
      </c>
      <c r="D9" s="10">
        <f>(C9*4*F9)/(E9*10^-6*B9^2)</f>
        <v>64.272465387961688</v>
      </c>
      <c r="E9" s="4">
        <f>9.8</f>
        <v>9.8000000000000007</v>
      </c>
      <c r="F9" s="9">
        <v>0.08</v>
      </c>
      <c r="G9" s="8"/>
      <c r="H9" s="5">
        <v>179000</v>
      </c>
      <c r="I9">
        <v>30</v>
      </c>
      <c r="J9" s="20">
        <f>(E9*10^-6*H9*I9*F9^2*D9)/B9</f>
        <v>0.1443158512429599</v>
      </c>
      <c r="K9" s="13">
        <f>J9/0.0098</f>
        <v>14.726107269689786</v>
      </c>
    </row>
    <row r="10" spans="1:17" x14ac:dyDescent="0.25">
      <c r="A10" t="s">
        <v>8</v>
      </c>
      <c r="B10" s="9">
        <v>150</v>
      </c>
      <c r="C10" s="15">
        <f>0.5*SQRT((0.5*B10)^2*2)/SIN(RADIANS('Stupid maths'!$B$6)/2)-0.5*SQRT((0.5*B10)^2*2)/TAN(RADIANS('Stupid maths'!$B$6)/2)</f>
        <v>44.287745681392359</v>
      </c>
      <c r="D10" s="54">
        <f>(C10*4*F10)/(E10*10^-6*B10^2)</f>
        <v>30.282219269328106</v>
      </c>
      <c r="E10" s="4">
        <v>20.8</v>
      </c>
      <c r="F10" s="9">
        <v>0.08</v>
      </c>
      <c r="G10" s="8"/>
      <c r="H10" s="5">
        <v>135000</v>
      </c>
      <c r="I10">
        <v>30</v>
      </c>
      <c r="J10" s="20">
        <f t="shared" ref="J10" si="0">(E10*10^-6*H10*I10*F10^2*D10)/B10</f>
        <v>0.10884156378658986</v>
      </c>
      <c r="K10" s="12">
        <f>J10/0.0098</f>
        <v>11.106282019039783</v>
      </c>
    </row>
    <row r="11" spans="1:17" x14ac:dyDescent="0.25">
      <c r="B11" s="98" t="s">
        <v>6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7" x14ac:dyDescent="0.25">
      <c r="A12" t="s">
        <v>7</v>
      </c>
      <c r="B12" s="9">
        <v>150</v>
      </c>
      <c r="C12" s="14">
        <f>(E12*10^-6*B12^2*D12)/(4*F12)</f>
        <v>6.890625</v>
      </c>
      <c r="D12" s="2">
        <v>10</v>
      </c>
      <c r="E12" s="4">
        <f>9.8</f>
        <v>9.8000000000000007</v>
      </c>
      <c r="F12" s="9">
        <v>0.08</v>
      </c>
      <c r="G12" s="8"/>
      <c r="H12" s="5">
        <v>179000</v>
      </c>
      <c r="I12">
        <v>30</v>
      </c>
      <c r="J12" s="20">
        <f>(E12*10^-6*H12*I12*F12^2*D12)/B12</f>
        <v>2.2453760000000003E-2</v>
      </c>
      <c r="K12" s="12">
        <f>J12/0.0098</f>
        <v>2.2912000000000003</v>
      </c>
    </row>
    <row r="13" spans="1:17" x14ac:dyDescent="0.25">
      <c r="A13" t="s">
        <v>7</v>
      </c>
      <c r="B13" s="9">
        <v>150</v>
      </c>
      <c r="C13" s="11">
        <f>(E13*10^-6*B13^2*D13)/(4*F13)</f>
        <v>0.27562500000000001</v>
      </c>
      <c r="D13" s="2">
        <v>10</v>
      </c>
      <c r="E13" s="4">
        <f>9.8</f>
        <v>9.8000000000000007</v>
      </c>
      <c r="F13" s="9">
        <v>2</v>
      </c>
      <c r="G13" s="8"/>
      <c r="H13" s="5">
        <v>179000</v>
      </c>
      <c r="I13">
        <v>30</v>
      </c>
      <c r="J13" s="20">
        <f>(E13*10^-6*H13*I13*F13^2*D13)/B13</f>
        <v>14.0336</v>
      </c>
      <c r="K13" s="13">
        <f>J13/0.0098</f>
        <v>1432</v>
      </c>
    </row>
    <row r="14" spans="1:17" x14ac:dyDescent="0.25">
      <c r="A14" t="s">
        <v>8</v>
      </c>
      <c r="B14" s="9">
        <v>150</v>
      </c>
      <c r="C14" s="14">
        <f>(E14*10^-6*B14^2*D14)/(4*F14)</f>
        <v>14.625000000000002</v>
      </c>
      <c r="D14" s="2">
        <v>10</v>
      </c>
      <c r="E14" s="4">
        <v>20.8</v>
      </c>
      <c r="F14" s="9">
        <v>0.08</v>
      </c>
      <c r="G14" s="8"/>
      <c r="H14" s="5">
        <v>135000</v>
      </c>
      <c r="I14">
        <v>30</v>
      </c>
      <c r="J14" s="20">
        <f>(E14*10^-6*H14*I14*F14^2*D14)/B14</f>
        <v>3.5942400000000006E-2</v>
      </c>
      <c r="K14" s="12">
        <f>J14/0.0098</f>
        <v>3.6675918367346947</v>
      </c>
    </row>
    <row r="15" spans="1:17" x14ac:dyDescent="0.25">
      <c r="A15" t="s">
        <v>8</v>
      </c>
      <c r="B15" s="9">
        <v>150</v>
      </c>
      <c r="C15" s="1">
        <f>(E15*10^-6*B15^2*D15)/(4*F15)</f>
        <v>0.58500000000000008</v>
      </c>
      <c r="D15" s="2">
        <v>10</v>
      </c>
      <c r="E15" s="4">
        <v>20.8</v>
      </c>
      <c r="F15" s="9">
        <v>2</v>
      </c>
      <c r="G15" s="8"/>
      <c r="H15" s="5">
        <v>135000</v>
      </c>
      <c r="I15">
        <v>30</v>
      </c>
      <c r="J15" s="20">
        <f>(E15*10^-6*H15*I15*F15^2*D15)/B15</f>
        <v>22.464000000000002</v>
      </c>
      <c r="K15" s="13">
        <f>J15/0.0098</f>
        <v>2292.2448979591841</v>
      </c>
    </row>
    <row r="16" spans="1:17" x14ac:dyDescent="0.25">
      <c r="B16" s="98" t="s">
        <v>14</v>
      </c>
      <c r="C16" s="98"/>
      <c r="D16" s="98"/>
      <c r="E16" s="98"/>
      <c r="F16" s="98"/>
      <c r="G16" s="98"/>
      <c r="H16" s="98"/>
      <c r="I16" s="98"/>
      <c r="J16" s="98"/>
      <c r="K16" s="98"/>
    </row>
    <row r="17" spans="1:11" x14ac:dyDescent="0.25">
      <c r="A17" s="98" t="s">
        <v>7</v>
      </c>
      <c r="B17" s="16">
        <v>1352.5340812182699</v>
      </c>
      <c r="C17" s="15">
        <f>0.5*SQRT((0.5*B17)^2*2)/SIN(RADIANS('Stupid maths'!$B$6)/2)-0.5*SQRT((0.5*B17)^2*2)/TAN(RADIANS('Stupid maths'!$B$6)/2)</f>
        <v>399.33790276273606</v>
      </c>
      <c r="D17" s="1">
        <v>5</v>
      </c>
      <c r="E17" s="4">
        <f t="shared" ref="E17:E21" si="1">9.8</f>
        <v>9.8000000000000007</v>
      </c>
      <c r="F17" s="9">
        <f t="shared" ref="F17:F26" si="2">(E17*10^-6*B17^2*D17)/(4*C17)</f>
        <v>5.6116682752781671E-2</v>
      </c>
      <c r="G17" s="8"/>
      <c r="H17" s="5">
        <v>179000</v>
      </c>
      <c r="I17">
        <v>30</v>
      </c>
      <c r="J17" s="20">
        <f t="shared" ref="J17:J21" si="3">(E17*10^-6*H17*I17*F17^2*D17)/B17</f>
        <v>6.1264110091764135E-4</v>
      </c>
      <c r="K17" s="11">
        <f t="shared" ref="K17:K26" si="4">J17/0.0098</f>
        <v>6.2514398052820552E-2</v>
      </c>
    </row>
    <row r="18" spans="1:11" x14ac:dyDescent="0.25">
      <c r="A18" s="98"/>
      <c r="B18" s="16">
        <v>676.26704060913471</v>
      </c>
      <c r="C18" s="15">
        <f>0.5*SQRT((0.5*B18)^2*2)/SIN(RADIANS('Stupid maths'!$B$6)/2)-0.5*SQRT((0.5*B18)^2*2)/TAN(RADIANS('Stupid maths'!$B$6)/2)</f>
        <v>199.66895138136795</v>
      </c>
      <c r="D18" s="2">
        <v>10</v>
      </c>
      <c r="E18" s="4">
        <f t="shared" si="1"/>
        <v>9.8000000000000007</v>
      </c>
      <c r="F18" s="9">
        <f t="shared" si="2"/>
        <v>5.6116682752781651E-2</v>
      </c>
      <c r="G18" s="8"/>
      <c r="H18" s="5">
        <v>179000</v>
      </c>
      <c r="I18">
        <v>30</v>
      </c>
      <c r="J18" s="20">
        <f t="shared" si="3"/>
        <v>2.4505644036705646E-3</v>
      </c>
      <c r="K18" s="11">
        <f t="shared" si="4"/>
        <v>0.2500575922112821</v>
      </c>
    </row>
    <row r="19" spans="1:11" x14ac:dyDescent="0.25">
      <c r="A19" s="98"/>
      <c r="B19" s="16">
        <v>450.84469373942335</v>
      </c>
      <c r="C19" s="15">
        <f>0.5*SQRT((0.5*B19)^2*2)/SIN(RADIANS('Stupid maths'!$B$6)/2)-0.5*SQRT((0.5*B19)^2*2)/TAN(RADIANS('Stupid maths'!$B$6)/2)</f>
        <v>133.11263425424539</v>
      </c>
      <c r="D19" s="2">
        <v>15</v>
      </c>
      <c r="E19" s="4">
        <f t="shared" si="1"/>
        <v>9.8000000000000007</v>
      </c>
      <c r="F19" s="9">
        <f t="shared" si="2"/>
        <v>5.6116682752781658E-2</v>
      </c>
      <c r="G19" s="8"/>
      <c r="H19" s="5">
        <v>179000</v>
      </c>
      <c r="I19">
        <v>30</v>
      </c>
      <c r="J19" s="20">
        <f t="shared" si="3"/>
        <v>5.5137699082587694E-3</v>
      </c>
      <c r="K19" s="11">
        <f t="shared" si="4"/>
        <v>0.56262958247538464</v>
      </c>
    </row>
    <row r="20" spans="1:11" x14ac:dyDescent="0.25">
      <c r="A20" s="98"/>
      <c r="B20" s="16">
        <v>338.13352030456758</v>
      </c>
      <c r="C20" s="15">
        <f>0.5*SQRT((0.5*B20)^2*2)/SIN(RADIANS('Stupid maths'!$B$6)/2)-0.5*SQRT((0.5*B20)^2*2)/TAN(RADIANS('Stupid maths'!$B$6)/2)</f>
        <v>99.83447569068403</v>
      </c>
      <c r="D20" s="9">
        <v>20</v>
      </c>
      <c r="E20" s="4">
        <f t="shared" si="1"/>
        <v>9.8000000000000007</v>
      </c>
      <c r="F20" s="9">
        <f t="shared" si="2"/>
        <v>5.6116682752781692E-2</v>
      </c>
      <c r="G20" s="8"/>
      <c r="H20" s="5">
        <v>179000</v>
      </c>
      <c r="I20">
        <v>30</v>
      </c>
      <c r="J20" s="20">
        <f t="shared" si="3"/>
        <v>9.8022576146822651E-3</v>
      </c>
      <c r="K20" s="11">
        <f t="shared" si="4"/>
        <v>1.0002303688451291</v>
      </c>
    </row>
    <row r="21" spans="1:11" x14ac:dyDescent="0.25">
      <c r="A21" s="98"/>
      <c r="B21" s="21">
        <v>270.50681624365376</v>
      </c>
      <c r="C21" s="15">
        <f>0.5*SQRT((0.5*B21)^2*2)/SIN(RADIANS('Stupid maths'!$B$6)/2)-0.5*SQRT((0.5*B21)^2*2)/TAN(RADIANS('Stupid maths'!$B$6)/2)</f>
        <v>79.867580552547139</v>
      </c>
      <c r="D21" s="9">
        <v>25</v>
      </c>
      <c r="E21" s="4">
        <f t="shared" si="1"/>
        <v>9.8000000000000007</v>
      </c>
      <c r="F21" s="9">
        <f t="shared" si="2"/>
        <v>5.6116682752781623E-2</v>
      </c>
      <c r="G21" s="8"/>
      <c r="H21" s="5">
        <v>179000</v>
      </c>
      <c r="I21">
        <v>30</v>
      </c>
      <c r="J21" s="20">
        <f t="shared" si="3"/>
        <v>1.531602752294102E-2</v>
      </c>
      <c r="K21" s="12">
        <f t="shared" si="4"/>
        <v>1.5628599513205124</v>
      </c>
    </row>
    <row r="22" spans="1:11" x14ac:dyDescent="0.25">
      <c r="A22" s="96" t="s">
        <v>8</v>
      </c>
      <c r="B22" s="25">
        <v>637.25163442014662</v>
      </c>
      <c r="C22" s="15">
        <f>0.5*SQRT((0.5*B22)^2*2)/SIN(RADIANS('Stupid maths'!$B$6)/2)-0.5*SQRT((0.5*B22)^2*2)/TAN(RADIANS('Stupid maths'!$B$6)/2)</f>
        <v>188.14958880167379</v>
      </c>
      <c r="D22" s="53">
        <v>5</v>
      </c>
      <c r="E22" s="27">
        <v>20.8</v>
      </c>
      <c r="F22" s="26">
        <f t="shared" si="2"/>
        <v>5.6116682752781692E-2</v>
      </c>
      <c r="G22" s="28"/>
      <c r="H22" s="29">
        <v>135000</v>
      </c>
      <c r="I22" s="30">
        <v>30</v>
      </c>
      <c r="J22" s="31">
        <f t="shared" ref="J22" si="5">(E22*10^-6*H22*I22*F22^2*D22)/B22</f>
        <v>2.0814279662708123E-3</v>
      </c>
      <c r="K22" s="32">
        <f t="shared" si="4"/>
        <v>0.21239060880314412</v>
      </c>
    </row>
    <row r="23" spans="1:11" x14ac:dyDescent="0.25">
      <c r="A23" s="96"/>
      <c r="B23" s="25">
        <v>318.62581721007331</v>
      </c>
      <c r="C23" s="15">
        <f>0.5*SQRT((0.5*B23)^2*2)/SIN(RADIANS('Stupid maths'!$B$6)/2)-0.5*SQRT((0.5*B23)^2*2)/TAN(RADIANS('Stupid maths'!$B$6)/2)</f>
        <v>94.074794400836893</v>
      </c>
      <c r="D23" s="36">
        <v>10</v>
      </c>
      <c r="E23" s="27">
        <v>20.8</v>
      </c>
      <c r="F23" s="26">
        <f t="shared" si="2"/>
        <v>5.6116682752781692E-2</v>
      </c>
      <c r="G23" s="28"/>
      <c r="H23" s="29">
        <v>135000</v>
      </c>
      <c r="I23" s="30">
        <v>30</v>
      </c>
      <c r="J23" s="31">
        <f t="shared" ref="J23:J32" si="6">(E23*10^-6*H23*I23*F23^2*D23)/B23</f>
        <v>8.3257118650832494E-3</v>
      </c>
      <c r="K23" s="32">
        <f t="shared" si="4"/>
        <v>0.84956243521257646</v>
      </c>
    </row>
    <row r="24" spans="1:11" x14ac:dyDescent="0.25">
      <c r="A24" s="96"/>
      <c r="B24" s="34">
        <v>212.41721147338205</v>
      </c>
      <c r="C24" s="15">
        <f>0.5*SQRT((0.5*B24)^2*2)/SIN(RADIANS('Stupid maths'!$B$6)/2)-0.5*SQRT((0.5*B24)^2*2)/TAN(RADIANS('Stupid maths'!$B$6)/2)</f>
        <v>62.716529600557891</v>
      </c>
      <c r="D24" s="36">
        <v>15</v>
      </c>
      <c r="E24" s="27">
        <v>20.8</v>
      </c>
      <c r="F24" s="26">
        <f t="shared" si="2"/>
        <v>5.6116682752781644E-2</v>
      </c>
      <c r="G24" s="28"/>
      <c r="H24" s="29">
        <v>135000</v>
      </c>
      <c r="I24" s="30">
        <v>30</v>
      </c>
      <c r="J24" s="31">
        <f t="shared" si="6"/>
        <v>1.8732851696437295E-2</v>
      </c>
      <c r="K24" s="33">
        <f t="shared" si="4"/>
        <v>1.9115154792282956</v>
      </c>
    </row>
    <row r="25" spans="1:11" x14ac:dyDescent="0.25">
      <c r="A25" s="96"/>
      <c r="B25" s="35">
        <v>159.31290860503645</v>
      </c>
      <c r="C25" s="15">
        <f>0.5*SQRT((0.5*B25)^2*2)/SIN(RADIANS('Stupid maths'!$B$6)/2)-0.5*SQRT((0.5*B25)^2*2)/TAN(RADIANS('Stupid maths'!$B$6)/2)</f>
        <v>47.03739720041839</v>
      </c>
      <c r="D25" s="26">
        <v>20</v>
      </c>
      <c r="E25" s="27">
        <v>20.8</v>
      </c>
      <c r="F25" s="26">
        <f t="shared" si="2"/>
        <v>5.6116682752781609E-2</v>
      </c>
      <c r="G25" s="28"/>
      <c r="H25" s="29">
        <v>135000</v>
      </c>
      <c r="I25" s="30">
        <v>30</v>
      </c>
      <c r="J25" s="31">
        <f t="shared" si="6"/>
        <v>3.3302847460332956E-2</v>
      </c>
      <c r="K25" s="33">
        <f t="shared" si="4"/>
        <v>3.3982497408503018</v>
      </c>
    </row>
    <row r="26" spans="1:11" x14ac:dyDescent="0.25">
      <c r="A26" s="97"/>
      <c r="B26" s="37">
        <v>127.45032688402907</v>
      </c>
      <c r="C26" s="15">
        <f>0.5*SQRT((0.5*B26)^2*2)/SIN(RADIANS('Stupid maths'!$B$6)/2)-0.5*SQRT((0.5*B26)^2*2)/TAN(RADIANS('Stupid maths'!$B$6)/2)</f>
        <v>37.629917760334685</v>
      </c>
      <c r="D26" s="40">
        <v>25</v>
      </c>
      <c r="E26" s="39">
        <v>20.8</v>
      </c>
      <c r="F26" s="40">
        <f t="shared" si="2"/>
        <v>5.6116682752781574E-2</v>
      </c>
      <c r="G26" s="41"/>
      <c r="H26" s="42">
        <v>135000</v>
      </c>
      <c r="I26" s="43">
        <v>30</v>
      </c>
      <c r="J26" s="44">
        <f t="shared" si="6"/>
        <v>5.2035699156770206E-2</v>
      </c>
      <c r="K26" s="45">
        <f t="shared" si="4"/>
        <v>5.3097652200785923</v>
      </c>
    </row>
    <row r="27" spans="1:11" x14ac:dyDescent="0.25">
      <c r="A27" s="98" t="s">
        <v>7</v>
      </c>
      <c r="B27" s="16">
        <v>8453.3380076141857</v>
      </c>
      <c r="C27" s="15">
        <f>0.5*SQRT((0.5*B27)^2*2)/SIN(RADIANS('Stupid maths'!$B$6)/2)-0.5*SQRT((0.5*B27)^2*2)/TAN(RADIANS('Stupid maths'!$B$6)/2)</f>
        <v>2495.8618922670998</v>
      </c>
      <c r="D27" s="1">
        <v>5</v>
      </c>
      <c r="E27" s="22">
        <f t="shared" ref="E27:E31" si="7">9.8</f>
        <v>9.8000000000000007</v>
      </c>
      <c r="F27" s="9">
        <f t="shared" ref="F27:F44" si="8">(E27*10^-6*B27^2*D27)/(4*C27)</f>
        <v>0.35072926720488534</v>
      </c>
      <c r="G27" s="8"/>
      <c r="H27" s="23">
        <v>179000</v>
      </c>
      <c r="I27">
        <v>30</v>
      </c>
      <c r="J27" s="24">
        <f t="shared" si="6"/>
        <v>3.8290068807352571E-3</v>
      </c>
      <c r="K27" s="11">
        <f t="shared" ref="K27:K44" si="9">J27/0.0098</f>
        <v>0.39071498783012831</v>
      </c>
    </row>
    <row r="28" spans="1:11" x14ac:dyDescent="0.25">
      <c r="A28" s="98"/>
      <c r="B28" s="16">
        <v>4226.6690038070938</v>
      </c>
      <c r="C28" s="15">
        <f>0.5*SQRT((0.5*B28)^2*2)/SIN(RADIANS('Stupid maths'!$B$6)/2)-0.5*SQRT((0.5*B28)^2*2)/TAN(RADIANS('Stupid maths'!$B$6)/2)</f>
        <v>1247.9309461335502</v>
      </c>
      <c r="D28" s="2">
        <v>10</v>
      </c>
      <c r="E28" s="4">
        <f t="shared" si="7"/>
        <v>9.8000000000000007</v>
      </c>
      <c r="F28" s="9">
        <f>(E28*10^-6*B28^2*D28)/(4*C28)</f>
        <v>0.35072926720488545</v>
      </c>
      <c r="G28" s="8"/>
      <c r="H28" s="5">
        <v>179000</v>
      </c>
      <c r="I28">
        <v>30</v>
      </c>
      <c r="J28" s="20">
        <f t="shared" si="6"/>
        <v>1.5316027522941034E-2</v>
      </c>
      <c r="K28" s="12">
        <f t="shared" si="9"/>
        <v>1.5628599513205137</v>
      </c>
    </row>
    <row r="29" spans="1:11" x14ac:dyDescent="0.25">
      <c r="A29" s="98"/>
      <c r="B29" s="16">
        <v>2113.3345019035464</v>
      </c>
      <c r="C29" s="15">
        <f>0.5*SQRT((0.5*B29)^2*2)/SIN(RADIANS('Stupid maths'!$B$6)/2)-0.5*SQRT((0.5*B29)^2*2)/TAN(RADIANS('Stupid maths'!$B$6)/2)</f>
        <v>623.96547306677496</v>
      </c>
      <c r="D29" s="9">
        <v>20</v>
      </c>
      <c r="E29" s="4">
        <f t="shared" si="7"/>
        <v>9.8000000000000007</v>
      </c>
      <c r="F29" s="9">
        <f t="shared" si="8"/>
        <v>0.35072926720488534</v>
      </c>
      <c r="G29" s="8"/>
      <c r="H29" s="5">
        <v>179000</v>
      </c>
      <c r="I29">
        <v>30</v>
      </c>
      <c r="J29" s="20">
        <f t="shared" si="6"/>
        <v>6.1264110091764114E-2</v>
      </c>
      <c r="K29" s="13">
        <f t="shared" si="9"/>
        <v>6.251439805282053</v>
      </c>
    </row>
    <row r="30" spans="1:11" x14ac:dyDescent="0.25">
      <c r="A30" s="98"/>
      <c r="B30" s="16">
        <v>1408.8896679356976</v>
      </c>
      <c r="C30" s="15">
        <f>0.5*SQRT((0.5*B30)^2*2)/SIN(RADIANS('Stupid maths'!$B$6)/2)-0.5*SQRT((0.5*B30)^2*2)/TAN(RADIANS('Stupid maths'!$B$6)/2)</f>
        <v>415.97698204451672</v>
      </c>
      <c r="D30" s="9">
        <v>30</v>
      </c>
      <c r="E30" s="4">
        <f t="shared" si="7"/>
        <v>9.8000000000000007</v>
      </c>
      <c r="F30" s="9">
        <f t="shared" si="8"/>
        <v>0.35072926720488529</v>
      </c>
      <c r="G30" s="8"/>
      <c r="H30" s="5">
        <v>179000</v>
      </c>
      <c r="I30">
        <v>30</v>
      </c>
      <c r="J30" s="20">
        <f t="shared" si="6"/>
        <v>0.13784424770646922</v>
      </c>
      <c r="K30" s="13">
        <f t="shared" si="9"/>
        <v>14.065739561884614</v>
      </c>
    </row>
    <row r="31" spans="1:11" x14ac:dyDescent="0.25">
      <c r="A31" s="98"/>
      <c r="B31" s="16">
        <v>1056.6672509517732</v>
      </c>
      <c r="C31" s="15">
        <f>0.5*SQRT((0.5*B31)^2*2)/SIN(RADIANS('Stupid maths'!$B$6)/2)-0.5*SQRT((0.5*B31)^2*2)/TAN(RADIANS('Stupid maths'!$B$6)/2)</f>
        <v>311.98273653338748</v>
      </c>
      <c r="D31" s="2">
        <v>40</v>
      </c>
      <c r="E31" s="4">
        <f t="shared" si="7"/>
        <v>9.8000000000000007</v>
      </c>
      <c r="F31" s="9">
        <f t="shared" si="8"/>
        <v>0.35072926720488534</v>
      </c>
      <c r="G31" s="8"/>
      <c r="H31" s="5">
        <v>179000</v>
      </c>
      <c r="I31">
        <v>30</v>
      </c>
      <c r="J31" s="20">
        <f t="shared" si="6"/>
        <v>0.24505644036705646</v>
      </c>
      <c r="K31" s="13">
        <f t="shared" si="9"/>
        <v>25.005759221128212</v>
      </c>
    </row>
    <row r="32" spans="1:11" x14ac:dyDescent="0.25">
      <c r="A32" s="96" t="s">
        <v>8</v>
      </c>
      <c r="B32" s="25">
        <v>3982.8227151259161</v>
      </c>
      <c r="C32" s="15">
        <f>0.5*SQRT((0.5*B32)^2*2)/SIN(RADIANS('Stupid maths'!$B$6)/2)-0.5*SQRT((0.5*B32)^2*2)/TAN(RADIANS('Stupid maths'!$B$6)/2)</f>
        <v>1175.9349300104611</v>
      </c>
      <c r="D32" s="53">
        <v>5</v>
      </c>
      <c r="E32" s="27">
        <v>20.8</v>
      </c>
      <c r="F32" s="26">
        <f t="shared" si="8"/>
        <v>0.35072926720488551</v>
      </c>
      <c r="G32" s="28"/>
      <c r="H32" s="29">
        <v>135000</v>
      </c>
      <c r="I32" s="30">
        <v>30</v>
      </c>
      <c r="J32" s="31">
        <f t="shared" si="6"/>
        <v>1.3008924789192576E-2</v>
      </c>
      <c r="K32" s="32">
        <f t="shared" si="9"/>
        <v>1.3274413050196505</v>
      </c>
    </row>
    <row r="33" spans="1:11" x14ac:dyDescent="0.25">
      <c r="A33" s="96"/>
      <c r="B33" s="25">
        <v>1991.4113575629581</v>
      </c>
      <c r="C33" s="15">
        <f>0.5*SQRT((0.5*B33)^2*2)/SIN(RADIANS('Stupid maths'!$B$6)/2)-0.5*SQRT((0.5*B33)^2*2)/TAN(RADIANS('Stupid maths'!$B$6)/2)</f>
        <v>587.96746500523057</v>
      </c>
      <c r="D33" s="36">
        <v>10</v>
      </c>
      <c r="E33" s="27">
        <v>20.8</v>
      </c>
      <c r="F33" s="26">
        <f t="shared" si="8"/>
        <v>0.35072926720488551</v>
      </c>
      <c r="G33" s="28"/>
      <c r="H33" s="29">
        <v>135000</v>
      </c>
      <c r="I33" s="30">
        <v>30</v>
      </c>
      <c r="J33" s="31">
        <f t="shared" ref="J33:J44" si="10">(E33*10^-6*H33*I33*F33^2*D33)/B33</f>
        <v>5.2035699156770303E-2</v>
      </c>
      <c r="K33" s="51">
        <f t="shared" si="9"/>
        <v>5.3097652200786021</v>
      </c>
    </row>
    <row r="34" spans="1:11" x14ac:dyDescent="0.25">
      <c r="A34" s="96"/>
      <c r="B34" s="25">
        <v>995.70567878147858</v>
      </c>
      <c r="C34" s="15">
        <f>0.5*SQRT((0.5*B34)^2*2)/SIN(RADIANS('Stupid maths'!$B$6)/2)-0.5*SQRT((0.5*B34)^2*2)/TAN(RADIANS('Stupid maths'!$B$6)/2)</f>
        <v>293.98373250261511</v>
      </c>
      <c r="D34" s="26">
        <v>20</v>
      </c>
      <c r="E34" s="27">
        <v>20.8</v>
      </c>
      <c r="F34" s="26">
        <f t="shared" si="8"/>
        <v>0.3507292672048854</v>
      </c>
      <c r="G34" s="28"/>
      <c r="H34" s="29">
        <v>135000</v>
      </c>
      <c r="I34" s="30">
        <v>30</v>
      </c>
      <c r="J34" s="31">
        <f t="shared" si="10"/>
        <v>0.20814279662708113</v>
      </c>
      <c r="K34" s="51">
        <f t="shared" si="9"/>
        <v>21.239060880314401</v>
      </c>
    </row>
    <row r="35" spans="1:11" x14ac:dyDescent="0.25">
      <c r="A35" s="96"/>
      <c r="B35" s="25">
        <v>663.80378585431913</v>
      </c>
      <c r="C35" s="15">
        <f>0.5*SQRT((0.5*B35)^2*2)/SIN(RADIANS('Stupid maths'!$B$6)/2)-0.5*SQRT((0.5*B35)^2*2)/TAN(RADIANS('Stupid maths'!$B$6)/2)</f>
        <v>195.98915500174346</v>
      </c>
      <c r="D35" s="26">
        <v>30</v>
      </c>
      <c r="E35" s="27">
        <v>20.8</v>
      </c>
      <c r="F35" s="26">
        <f t="shared" si="8"/>
        <v>0.3507292672048854</v>
      </c>
      <c r="G35" s="28"/>
      <c r="H35" s="29">
        <v>135000</v>
      </c>
      <c r="I35" s="30">
        <v>30</v>
      </c>
      <c r="J35" s="31">
        <f t="shared" si="10"/>
        <v>0.46832129241093251</v>
      </c>
      <c r="K35" s="51">
        <f t="shared" si="9"/>
        <v>47.787886980707398</v>
      </c>
    </row>
    <row r="36" spans="1:11" x14ac:dyDescent="0.25">
      <c r="A36" s="97"/>
      <c r="B36" s="52">
        <v>497.8528393907394</v>
      </c>
      <c r="C36" s="15">
        <f>0.5*SQRT((0.5*B36)^2*2)/SIN(RADIANS('Stupid maths'!$B$6)/2)-0.5*SQRT((0.5*B36)^2*2)/TAN(RADIANS('Stupid maths'!$B$6)/2)</f>
        <v>146.99186625130761</v>
      </c>
      <c r="D36" s="38">
        <v>40</v>
      </c>
      <c r="E36" s="39">
        <v>20.8</v>
      </c>
      <c r="F36" s="40">
        <f t="shared" si="8"/>
        <v>0.35072926720488545</v>
      </c>
      <c r="G36" s="41"/>
      <c r="H36" s="42">
        <v>135000</v>
      </c>
      <c r="I36" s="43">
        <v>30</v>
      </c>
      <c r="J36" s="44">
        <f t="shared" si="10"/>
        <v>0.83257118650832462</v>
      </c>
      <c r="K36" s="45">
        <f t="shared" si="9"/>
        <v>84.956243521257619</v>
      </c>
    </row>
    <row r="38" spans="1:11" x14ac:dyDescent="0.25">
      <c r="A38" t="s">
        <v>32</v>
      </c>
    </row>
    <row r="39" spans="1:11" x14ac:dyDescent="0.25">
      <c r="A39" t="s">
        <v>33</v>
      </c>
    </row>
    <row r="40" spans="1:11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x14ac:dyDescent="0.25">
      <c r="A41" s="96" t="s">
        <v>8</v>
      </c>
      <c r="B41" s="25">
        <v>225</v>
      </c>
      <c r="C41" s="15">
        <f>0.5*SQRT((0.5*B41)^2*2)/SIN(RADIANS('Stupid maths'!$B$6)/2)-0.5*SQRT((0.5*B41)^2*2)/TAN(RADIANS('Stupid maths'!$B$6)/2)</f>
        <v>66.431618522088542</v>
      </c>
      <c r="D41" s="36">
        <v>40</v>
      </c>
      <c r="E41" s="22">
        <v>20.8</v>
      </c>
      <c r="F41" s="26">
        <f t="shared" si="8"/>
        <v>0.15850885819526991</v>
      </c>
      <c r="G41" s="28"/>
      <c r="H41" s="23">
        <v>135000</v>
      </c>
      <c r="I41" s="30">
        <v>30</v>
      </c>
      <c r="J41" s="24">
        <f t="shared" si="10"/>
        <v>0.37627287050048991</v>
      </c>
      <c r="K41" s="51">
        <f t="shared" si="9"/>
        <v>38.395190867396934</v>
      </c>
    </row>
    <row r="42" spans="1:11" x14ac:dyDescent="0.25">
      <c r="A42" s="96"/>
      <c r="B42" s="34">
        <v>175</v>
      </c>
      <c r="C42" s="15">
        <f>0.5*SQRT((0.5*B42)^2*2)/SIN(RADIANS('Stupid maths'!$B$6)/2)-0.5*SQRT((0.5*B42)^2*2)/TAN(RADIANS('Stupid maths'!$B$6)/2)</f>
        <v>51.669036628291082</v>
      </c>
      <c r="D42" s="36">
        <v>40</v>
      </c>
      <c r="E42" s="4">
        <v>20.8</v>
      </c>
      <c r="F42" s="26">
        <f t="shared" si="8"/>
        <v>0.12328466748520996</v>
      </c>
      <c r="G42" s="28"/>
      <c r="H42" s="5">
        <v>135000</v>
      </c>
      <c r="I42" s="30">
        <v>30</v>
      </c>
      <c r="J42" s="20">
        <f t="shared" si="10"/>
        <v>0.29265667705593673</v>
      </c>
      <c r="K42" s="51">
        <f t="shared" si="9"/>
        <v>29.862926230197626</v>
      </c>
    </row>
    <row r="43" spans="1:11" ht="15.75" thickBot="1" x14ac:dyDescent="0.3">
      <c r="A43" s="96"/>
      <c r="B43" s="78">
        <v>149.35585181722178</v>
      </c>
      <c r="C43" s="55">
        <f>0.5*SQRT((0.5*B43)^2*2)/SIN(RADIANS('Stupid maths'!$B$6)/2)-0.5*SQRT((0.5*B43)^2*2)/TAN(RADIANS('Stupid maths'!$B$6)/2)</f>
        <v>44.097559875392271</v>
      </c>
      <c r="D43" s="79">
        <v>40</v>
      </c>
      <c r="E43" s="80">
        <v>20.8</v>
      </c>
      <c r="F43" s="81">
        <f t="shared" ref="F43" si="11">(E43*10^-6*B43^2*D43)/(4*C43)</f>
        <v>0.1052187801614656</v>
      </c>
      <c r="G43" s="82"/>
      <c r="H43" s="83">
        <v>135000</v>
      </c>
      <c r="I43" s="84">
        <v>30</v>
      </c>
      <c r="J43" s="85">
        <f t="shared" ref="J43" si="12">(E43*10^-6*H43*I43*F43^2*D43)/B43</f>
        <v>0.24977135595249736</v>
      </c>
      <c r="K43" s="86">
        <f t="shared" ref="K43" si="13">J43/0.0098</f>
        <v>25.486873056377281</v>
      </c>
    </row>
    <row r="44" spans="1:11" ht="15.75" thickBot="1" x14ac:dyDescent="0.3">
      <c r="A44" s="97"/>
      <c r="B44" s="59">
        <v>100</v>
      </c>
      <c r="C44" s="88">
        <f>0.5*SQRT((0.5*B44)^2*2)/SIN(RADIANS('Stupid maths'!$B$6)/2)-0.5*SQRT((0.5*B44)^2*2)/TAN(RADIANS('Stupid maths'!$B$6)/2)</f>
        <v>29.525163787594906</v>
      </c>
      <c r="D44" s="60">
        <v>40</v>
      </c>
      <c r="E44" s="61">
        <v>20.8</v>
      </c>
      <c r="F44" s="62">
        <f t="shared" si="8"/>
        <v>7.0448381420119971E-2</v>
      </c>
      <c r="G44" s="63"/>
      <c r="H44" s="64">
        <v>135000</v>
      </c>
      <c r="I44" s="65">
        <v>30</v>
      </c>
      <c r="J44" s="66">
        <f t="shared" si="10"/>
        <v>0.16723238688910669</v>
      </c>
      <c r="K44" s="67">
        <f t="shared" si="9"/>
        <v>17.064529274398641</v>
      </c>
    </row>
    <row r="45" spans="1:11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x14ac:dyDescent="0.25">
      <c r="A46" s="96" t="s">
        <v>7</v>
      </c>
      <c r="B46" s="16">
        <v>225</v>
      </c>
      <c r="C46" s="15">
        <f>0.5*SQRT((0.5*B46)^2*2)/SIN(RADIANS('Stupid maths'!$B$6)/2)-0.5*SQRT((0.5*B46)^2*2)/TAN(RADIANS('Stupid maths'!$B$6)/2)</f>
        <v>66.431618522088542</v>
      </c>
      <c r="D46" s="2">
        <v>40</v>
      </c>
      <c r="E46" s="22">
        <f t="shared" ref="E46:E48" si="14">9.8</f>
        <v>9.8000000000000007</v>
      </c>
      <c r="F46" s="9">
        <f t="shared" ref="F46:F47" si="15">(E46*10^-6*B46^2*D46)/(4*C46)</f>
        <v>7.4682058188156028E-2</v>
      </c>
      <c r="G46" s="8"/>
      <c r="H46" s="23">
        <v>179000</v>
      </c>
      <c r="I46">
        <v>30</v>
      </c>
      <c r="J46" s="24">
        <f t="shared" ref="J46:J48" si="16">(E46*10^-6*H46*I46*F46^2*D46)/B46</f>
        <v>5.2180758921906052E-2</v>
      </c>
      <c r="K46" s="13">
        <f t="shared" ref="K46:K48" si="17">J46/0.0098</f>
        <v>5.3245672369291892</v>
      </c>
    </row>
    <row r="47" spans="1:11" ht="15.75" thickBot="1" x14ac:dyDescent="0.3">
      <c r="A47" s="96"/>
      <c r="B47" s="16">
        <v>200</v>
      </c>
      <c r="C47" s="15">
        <f>0.5*SQRT((0.5*B47)^2*2)/SIN(RADIANS('Stupid maths'!$B$6)/2)-0.5*SQRT((0.5*B47)^2*2)/TAN(RADIANS('Stupid maths'!$B$6)/2)</f>
        <v>59.050327575189812</v>
      </c>
      <c r="D47" s="2">
        <v>40</v>
      </c>
      <c r="E47" s="56">
        <f t="shared" si="14"/>
        <v>9.8000000000000007</v>
      </c>
      <c r="F47" s="2">
        <f t="shared" si="15"/>
        <v>6.6384051722805357E-2</v>
      </c>
      <c r="G47" s="8"/>
      <c r="H47" s="57">
        <v>179000</v>
      </c>
      <c r="I47">
        <v>30</v>
      </c>
      <c r="J47" s="58">
        <f t="shared" si="16"/>
        <v>4.6382896819472046E-2</v>
      </c>
      <c r="K47" s="12">
        <f t="shared" si="17"/>
        <v>4.7329486550481681</v>
      </c>
    </row>
    <row r="48" spans="1:11" ht="15.75" thickBot="1" x14ac:dyDescent="0.3">
      <c r="A48" s="97"/>
      <c r="B48" s="68">
        <v>169.06676015228373</v>
      </c>
      <c r="C48" s="69">
        <f>0.5*SQRT((0.5*B48)^2*2)/SIN(RADIANS('Stupid maths'!$B$6)/2)-0.5*SQRT((0.5*B48)^2*2)/TAN(RADIANS('Stupid maths'!$B$6)/2)</f>
        <v>49.917237845342008</v>
      </c>
      <c r="D48" s="70">
        <v>40</v>
      </c>
      <c r="E48" s="71">
        <f t="shared" si="14"/>
        <v>9.8000000000000007</v>
      </c>
      <c r="F48" s="70">
        <f>(E48*10^-6*B48^2*D48)/(4*C48)</f>
        <v>5.6116682752781671E-2</v>
      </c>
      <c r="G48" s="72"/>
      <c r="H48" s="73">
        <v>179000</v>
      </c>
      <c r="I48" s="74">
        <v>30</v>
      </c>
      <c r="J48" s="75">
        <f t="shared" si="16"/>
        <v>3.9209030458729047E-2</v>
      </c>
      <c r="K48" s="76">
        <f t="shared" si="17"/>
        <v>4.0009214753805153</v>
      </c>
    </row>
  </sheetData>
  <dataConsolidate/>
  <mergeCells count="19">
    <mergeCell ref="A27:A31"/>
    <mergeCell ref="A32:A36"/>
    <mergeCell ref="A40:K40"/>
    <mergeCell ref="A46:A48"/>
    <mergeCell ref="A45:K45"/>
    <mergeCell ref="A41:A44"/>
    <mergeCell ref="B2:K2"/>
    <mergeCell ref="M2:Q2"/>
    <mergeCell ref="N3:O3"/>
    <mergeCell ref="N4:O4"/>
    <mergeCell ref="A22:A26"/>
    <mergeCell ref="A17:A21"/>
    <mergeCell ref="B5:K5"/>
    <mergeCell ref="B8:K8"/>
    <mergeCell ref="B11:K11"/>
    <mergeCell ref="B16:K16"/>
    <mergeCell ref="J3:K3"/>
    <mergeCell ref="B4:F4"/>
    <mergeCell ref="H4:K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tabSelected="1" zoomScaleNormal="100" workbookViewId="0">
      <selection activeCell="A3" sqref="A3"/>
    </sheetView>
  </sheetViews>
  <sheetFormatPr defaultRowHeight="15" x14ac:dyDescent="0.25"/>
  <cols>
    <col min="5" max="5" width="2.85546875" customWidth="1"/>
    <col min="9" max="9" width="2.85546875" customWidth="1"/>
    <col min="13" max="13" width="2.85546875" customWidth="1"/>
    <col min="17" max="17" width="2.85546875" customWidth="1"/>
    <col min="20" max="20" width="9.140625" customWidth="1"/>
    <col min="21" max="21" width="2.7109375" customWidth="1"/>
  </cols>
  <sheetData>
    <row r="1" spans="1:37" ht="20.25" customHeight="1" thickBot="1" x14ac:dyDescent="0.35">
      <c r="A1" s="103" t="s">
        <v>56</v>
      </c>
      <c r="B1" s="103"/>
      <c r="C1" s="103"/>
      <c r="D1" s="103"/>
      <c r="E1" s="103"/>
      <c r="F1" s="103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</row>
    <row r="2" spans="1:37" ht="15.75" thickTop="1" x14ac:dyDescent="0.25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ht="18.75" customHeight="1" thickBot="1" x14ac:dyDescent="0.35">
      <c r="A4" s="87"/>
      <c r="B4" s="108" t="s">
        <v>38</v>
      </c>
      <c r="C4" s="108"/>
      <c r="D4" s="108"/>
      <c r="E4" s="87"/>
      <c r="F4" s="108" t="s">
        <v>39</v>
      </c>
      <c r="G4" s="108"/>
      <c r="H4" s="108"/>
      <c r="I4" s="87"/>
      <c r="J4" s="108" t="s">
        <v>40</v>
      </c>
      <c r="K4" s="108"/>
      <c r="L4" s="108"/>
      <c r="M4" s="87"/>
      <c r="N4" s="108" t="s">
        <v>48</v>
      </c>
      <c r="O4" s="108"/>
      <c r="P4" s="108"/>
      <c r="Q4" s="87"/>
      <c r="R4" s="108" t="s">
        <v>42</v>
      </c>
      <c r="S4" s="108"/>
      <c r="T4" s="108"/>
      <c r="U4" s="87"/>
      <c r="V4" s="108" t="s">
        <v>39</v>
      </c>
      <c r="W4" s="108"/>
      <c r="X4" s="108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</row>
    <row r="5" spans="1:37" ht="15.75" thickTop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</row>
    <row r="6" spans="1:37" ht="15" customHeight="1" x14ac:dyDescent="0.25">
      <c r="A6" s="87"/>
      <c r="B6" s="104" t="s">
        <v>37</v>
      </c>
      <c r="C6" s="104"/>
      <c r="D6" s="104"/>
      <c r="E6" s="87"/>
      <c r="F6" s="104" t="s">
        <v>53</v>
      </c>
      <c r="G6" s="104"/>
      <c r="H6" s="104"/>
      <c r="I6" s="87"/>
      <c r="J6" s="104" t="s">
        <v>45</v>
      </c>
      <c r="K6" s="104"/>
      <c r="L6" s="104"/>
      <c r="M6" s="87"/>
      <c r="N6" s="104" t="s">
        <v>49</v>
      </c>
      <c r="O6" s="104"/>
      <c r="P6" s="104"/>
      <c r="Q6" s="87"/>
      <c r="R6" s="104" t="s">
        <v>44</v>
      </c>
      <c r="S6" s="104"/>
      <c r="T6" s="104"/>
      <c r="U6" s="87"/>
      <c r="V6" s="104" t="s">
        <v>46</v>
      </c>
      <c r="W6" s="104"/>
      <c r="X6" s="104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37" x14ac:dyDescent="0.25">
      <c r="A7" s="87"/>
      <c r="B7" s="104"/>
      <c r="C7" s="104"/>
      <c r="D7" s="104"/>
      <c r="E7" s="87"/>
      <c r="F7" s="116"/>
      <c r="G7" s="116"/>
      <c r="H7" s="116"/>
      <c r="I7" s="87"/>
      <c r="J7" s="104"/>
      <c r="K7" s="104"/>
      <c r="L7" s="104"/>
      <c r="M7" s="87"/>
      <c r="N7" s="104"/>
      <c r="O7" s="104"/>
      <c r="P7" s="104"/>
      <c r="Q7" s="87"/>
      <c r="R7" s="104"/>
      <c r="S7" s="104"/>
      <c r="T7" s="104"/>
      <c r="U7" s="87"/>
      <c r="V7" s="116"/>
      <c r="W7" s="116"/>
      <c r="X7" s="116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</row>
    <row r="8" spans="1:37" x14ac:dyDescent="0.25">
      <c r="A8" s="87"/>
      <c r="B8" s="113">
        <v>110</v>
      </c>
      <c r="C8" s="114"/>
      <c r="D8" s="115"/>
      <c r="E8" s="87"/>
      <c r="F8" s="110">
        <f>SQRT((2*(SQRT((B8/2)^2-(F16/2)^2)+F12))^2/2)</f>
        <v>100.93037576567406</v>
      </c>
      <c r="G8" s="111"/>
      <c r="H8" s="112"/>
      <c r="I8" s="87"/>
      <c r="J8" s="109">
        <v>20.8</v>
      </c>
      <c r="K8" s="109"/>
      <c r="L8" s="109"/>
      <c r="M8" s="87"/>
      <c r="N8" s="105">
        <f>(J8*10^-6*B8^2*J12)/(4*F12)</f>
        <v>7.7493219562131968E-2</v>
      </c>
      <c r="O8" s="106"/>
      <c r="P8" s="107"/>
      <c r="Q8" s="87"/>
      <c r="R8" s="109">
        <v>135000</v>
      </c>
      <c r="S8" s="109"/>
      <c r="T8" s="109"/>
      <c r="U8" s="87"/>
      <c r="V8" s="105">
        <f>(J8*10^-6*R8*R12*N8^2*J12)/B8</f>
        <v>0.1839556255780174</v>
      </c>
      <c r="W8" s="106"/>
      <c r="X8" s="10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</row>
    <row r="9" spans="1:37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</row>
    <row r="10" spans="1:37" ht="15" customHeight="1" x14ac:dyDescent="0.25">
      <c r="A10" s="87"/>
      <c r="B10" s="87"/>
      <c r="C10" s="87"/>
      <c r="D10" s="87"/>
      <c r="E10" s="87"/>
      <c r="F10" s="104" t="s">
        <v>51</v>
      </c>
      <c r="G10" s="104"/>
      <c r="H10" s="104"/>
      <c r="I10" s="87"/>
      <c r="J10" s="104" t="s">
        <v>41</v>
      </c>
      <c r="K10" s="104"/>
      <c r="L10" s="104"/>
      <c r="M10" s="87"/>
      <c r="N10" s="87"/>
      <c r="O10" s="87"/>
      <c r="P10" s="87"/>
      <c r="Q10" s="87"/>
      <c r="R10" s="104" t="s">
        <v>43</v>
      </c>
      <c r="S10" s="104"/>
      <c r="T10" s="104"/>
      <c r="U10" s="87"/>
      <c r="V10" s="104" t="s">
        <v>47</v>
      </c>
      <c r="W10" s="104"/>
      <c r="X10" s="104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</row>
    <row r="11" spans="1:37" x14ac:dyDescent="0.25">
      <c r="A11" s="87"/>
      <c r="B11" s="87"/>
      <c r="C11" s="87"/>
      <c r="D11" s="87"/>
      <c r="E11" s="87"/>
      <c r="F11" s="104"/>
      <c r="G11" s="104"/>
      <c r="H11" s="104"/>
      <c r="I11" s="87"/>
      <c r="J11" s="104"/>
      <c r="K11" s="104"/>
      <c r="L11" s="104"/>
      <c r="M11" s="87"/>
      <c r="N11" s="87"/>
      <c r="O11" s="87"/>
      <c r="P11" s="87"/>
      <c r="Q11" s="87"/>
      <c r="R11" s="104"/>
      <c r="S11" s="104"/>
      <c r="T11" s="104"/>
      <c r="U11" s="87"/>
      <c r="V11" s="104"/>
      <c r="W11" s="104"/>
      <c r="X11" s="104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</row>
    <row r="12" spans="1:37" x14ac:dyDescent="0.25">
      <c r="A12" s="87"/>
      <c r="B12" s="87"/>
      <c r="C12" s="87"/>
      <c r="D12" s="87"/>
      <c r="E12" s="87"/>
      <c r="F12" s="117">
        <f>0.5*F16/SIN(RADIANS('Stupid maths'!B6)/2)-0.5*F16/TAN(RADIANS('Stupid maths'!B6)/2)</f>
        <v>32.477680166354396</v>
      </c>
      <c r="G12" s="117"/>
      <c r="H12" s="117"/>
      <c r="I12" s="87"/>
      <c r="J12" s="109">
        <v>40</v>
      </c>
      <c r="K12" s="109"/>
      <c r="L12" s="109"/>
      <c r="M12" s="87"/>
      <c r="N12" s="87"/>
      <c r="O12" s="87"/>
      <c r="P12" s="87"/>
      <c r="Q12" s="87"/>
      <c r="R12" s="109">
        <v>30</v>
      </c>
      <c r="S12" s="109"/>
      <c r="T12" s="109"/>
      <c r="U12" s="87"/>
      <c r="V12" s="117">
        <f>V8/0.00980665</f>
        <v>18.75825338704016</v>
      </c>
      <c r="W12" s="117"/>
      <c r="X12" s="11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</row>
    <row r="13" spans="1:37" x14ac:dyDescent="0.2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</row>
    <row r="14" spans="1:37" ht="15" customHeight="1" x14ac:dyDescent="0.25">
      <c r="A14" s="87"/>
      <c r="B14" s="87"/>
      <c r="C14" s="87"/>
      <c r="D14" s="87"/>
      <c r="E14" s="87"/>
      <c r="F14" s="104" t="s">
        <v>52</v>
      </c>
      <c r="G14" s="104"/>
      <c r="H14" s="104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</row>
    <row r="15" spans="1:37" x14ac:dyDescent="0.25">
      <c r="A15" s="87"/>
      <c r="B15" s="87"/>
      <c r="C15" s="87"/>
      <c r="D15" s="87"/>
      <c r="E15" s="87"/>
      <c r="F15" s="116"/>
      <c r="G15" s="116"/>
      <c r="H15" s="11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x14ac:dyDescent="0.25">
      <c r="A16" s="87"/>
      <c r="B16" s="87"/>
      <c r="C16" s="87"/>
      <c r="D16" s="87"/>
      <c r="E16" s="87"/>
      <c r="F16" s="117">
        <f>SQRT((0.5*B8)^2*2)</f>
        <v>77.781745930520231</v>
      </c>
      <c r="G16" s="111"/>
      <c r="H16" s="112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</row>
    <row r="17" spans="1:37" x14ac:dyDescent="0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</row>
    <row r="18" spans="1:37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</row>
    <row r="19" spans="1:37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</row>
    <row r="20" spans="1:37" x14ac:dyDescent="0.2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</row>
    <row r="21" spans="1:37" x14ac:dyDescent="0.2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</row>
    <row r="22" spans="1:37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</row>
    <row r="23" spans="1:37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</row>
    <row r="24" spans="1:37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</row>
    <row r="25" spans="1:37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</row>
    <row r="26" spans="1:37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</row>
    <row r="27" spans="1:37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</row>
    <row r="28" spans="1:37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</row>
    <row r="29" spans="1:37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</row>
    <row r="30" spans="1:37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</row>
    <row r="31" spans="1:37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</row>
    <row r="32" spans="1:37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</row>
    <row r="33" spans="1:37" x14ac:dyDescent="0.2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</row>
    <row r="34" spans="1:37" x14ac:dyDescent="0.2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</row>
    <row r="35" spans="1:37" x14ac:dyDescent="0.2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</row>
    <row r="36" spans="1:37" x14ac:dyDescent="0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</row>
    <row r="37" spans="1:37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</row>
    <row r="38" spans="1:37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</row>
    <row r="39" spans="1:37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</row>
    <row r="40" spans="1:37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</row>
    <row r="41" spans="1:37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</row>
    <row r="42" spans="1:37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</row>
    <row r="43" spans="1:37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</row>
    <row r="44" spans="1:37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</row>
    <row r="45" spans="1:37" x14ac:dyDescent="0.2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</row>
    <row r="46" spans="1:37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</row>
    <row r="47" spans="1:37" x14ac:dyDescent="0.2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</row>
    <row r="48" spans="1:37" x14ac:dyDescent="0.2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</row>
    <row r="49" spans="1:37" x14ac:dyDescent="0.2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</row>
    <row r="50" spans="1:37" x14ac:dyDescent="0.2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</row>
    <row r="51" spans="1:37" x14ac:dyDescent="0.2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</row>
    <row r="52" spans="1:37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</row>
    <row r="53" spans="1:37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</row>
    <row r="54" spans="1:37" x14ac:dyDescent="0.2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</row>
    <row r="55" spans="1:37" x14ac:dyDescent="0.2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</row>
  </sheetData>
  <mergeCells count="29">
    <mergeCell ref="F14:H15"/>
    <mergeCell ref="F16:H16"/>
    <mergeCell ref="R10:T11"/>
    <mergeCell ref="R12:T12"/>
    <mergeCell ref="V4:X4"/>
    <mergeCell ref="V6:X7"/>
    <mergeCell ref="V8:X8"/>
    <mergeCell ref="V10:X11"/>
    <mergeCell ref="V12:X12"/>
    <mergeCell ref="J10:L11"/>
    <mergeCell ref="J12:L12"/>
    <mergeCell ref="F10:H11"/>
    <mergeCell ref="F12:H12"/>
    <mergeCell ref="A1:F1"/>
    <mergeCell ref="B6:D7"/>
    <mergeCell ref="N6:P7"/>
    <mergeCell ref="N8:P8"/>
    <mergeCell ref="R4:T4"/>
    <mergeCell ref="R6:T7"/>
    <mergeCell ref="R8:T8"/>
    <mergeCell ref="N4:P4"/>
    <mergeCell ref="F8:H8"/>
    <mergeCell ref="B8:D8"/>
    <mergeCell ref="F4:H4"/>
    <mergeCell ref="B4:D4"/>
    <mergeCell ref="J6:L7"/>
    <mergeCell ref="J8:L8"/>
    <mergeCell ref="F6:H7"/>
    <mergeCell ref="J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9"/>
  <sheetViews>
    <sheetView workbookViewId="0">
      <selection activeCell="H31" sqref="H31"/>
    </sheetView>
  </sheetViews>
  <sheetFormatPr defaultRowHeight="15" x14ac:dyDescent="0.25"/>
  <sheetData>
    <row r="5" spans="2:4" x14ac:dyDescent="0.25">
      <c r="B5" t="s">
        <v>50</v>
      </c>
      <c r="C5" t="s">
        <v>15</v>
      </c>
      <c r="D5" t="s">
        <v>55</v>
      </c>
    </row>
    <row r="6" spans="2:4" x14ac:dyDescent="0.25">
      <c r="B6">
        <v>159.46072344210799</v>
      </c>
      <c r="C6">
        <v>110</v>
      </c>
      <c r="D6">
        <f>C6/(2*PI()*B6/360)</f>
        <v>39.524063420715528</v>
      </c>
    </row>
    <row r="8" spans="2:4" x14ac:dyDescent="0.25">
      <c r="C8" t="s">
        <v>54</v>
      </c>
    </row>
    <row r="9" spans="2:4" x14ac:dyDescent="0.25">
      <c r="C9">
        <f>D6*2*SIN(RADIANS(B6/2))</f>
        <v>77.781748121528082</v>
      </c>
      <c r="D9">
        <f>SQRT(2*(0.5*C6)^2)</f>
        <v>77.781745930520231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0"/>
  <sheetViews>
    <sheetView zoomScale="85" zoomScaleNormal="85" workbookViewId="0">
      <pane ySplit="1" topLeftCell="A26" activePane="bottomLeft" state="frozen"/>
      <selection pane="bottomLeft" activeCell="K55" sqref="K55"/>
    </sheetView>
  </sheetViews>
  <sheetFormatPr defaultRowHeight="15" x14ac:dyDescent="0.25"/>
  <cols>
    <col min="3" max="3" width="10.28515625" bestFit="1" customWidth="1"/>
    <col min="4" max="4" width="9.140625" customWidth="1"/>
    <col min="5" max="5" width="10.140625" customWidth="1"/>
    <col min="7" max="7" width="3.7109375" customWidth="1"/>
    <col min="11" max="11" width="9.140625" customWidth="1"/>
    <col min="16" max="16" width="16.7109375" bestFit="1" customWidth="1"/>
    <col min="17" max="17" width="10.28515625" bestFit="1" customWidth="1"/>
  </cols>
  <sheetData>
    <row r="1" spans="1:17" ht="17.25" x14ac:dyDescent="0.25">
      <c r="B1" s="3" t="s">
        <v>1</v>
      </c>
      <c r="C1" s="3" t="s">
        <v>0</v>
      </c>
      <c r="D1" s="3" t="s">
        <v>9</v>
      </c>
      <c r="E1" s="3" t="s">
        <v>10</v>
      </c>
      <c r="F1" s="3" t="s">
        <v>12</v>
      </c>
      <c r="G1" s="6"/>
      <c r="H1" s="3" t="s">
        <v>13</v>
      </c>
      <c r="I1" s="3" t="s">
        <v>11</v>
      </c>
      <c r="J1" s="3" t="s">
        <v>3</v>
      </c>
      <c r="K1" s="3" t="s">
        <v>2</v>
      </c>
      <c r="M1" s="47" t="s">
        <v>22</v>
      </c>
      <c r="N1" s="48" t="s">
        <v>23</v>
      </c>
      <c r="O1" s="49" t="s">
        <v>24</v>
      </c>
      <c r="P1" s="29" t="s">
        <v>25</v>
      </c>
      <c r="Q1" s="50" t="s">
        <v>26</v>
      </c>
    </row>
    <row r="2" spans="1:17" ht="15.75" x14ac:dyDescent="0.25">
      <c r="B2" s="91" t="s">
        <v>31</v>
      </c>
      <c r="C2" s="91"/>
      <c r="D2" s="91"/>
      <c r="E2" s="91"/>
      <c r="F2" s="91"/>
      <c r="G2" s="91"/>
      <c r="H2" s="91"/>
      <c r="I2" s="91"/>
      <c r="J2" s="91"/>
      <c r="K2" s="91"/>
      <c r="M2" s="91" t="s">
        <v>30</v>
      </c>
      <c r="N2" s="91"/>
      <c r="O2" s="91"/>
      <c r="P2" s="91"/>
      <c r="Q2" s="91"/>
    </row>
    <row r="3" spans="1:17" ht="32.25" customHeight="1" x14ac:dyDescent="0.25">
      <c r="B3" s="17" t="s">
        <v>15</v>
      </c>
      <c r="C3" s="18" t="s">
        <v>29</v>
      </c>
      <c r="D3" s="18" t="s">
        <v>18</v>
      </c>
      <c r="E3" s="18" t="s">
        <v>17</v>
      </c>
      <c r="F3" s="17" t="s">
        <v>16</v>
      </c>
      <c r="G3" s="19"/>
      <c r="H3" s="18" t="s">
        <v>19</v>
      </c>
      <c r="I3" s="17" t="s">
        <v>20</v>
      </c>
      <c r="J3" s="99" t="s">
        <v>21</v>
      </c>
      <c r="K3" s="99"/>
      <c r="M3" s="77" t="s">
        <v>7</v>
      </c>
      <c r="N3" s="92" t="s">
        <v>27</v>
      </c>
      <c r="O3" s="93"/>
    </row>
    <row r="4" spans="1:17" ht="32.25" customHeight="1" x14ac:dyDescent="0.25">
      <c r="B4" s="100"/>
      <c r="C4" s="100"/>
      <c r="D4" s="100"/>
      <c r="E4" s="100"/>
      <c r="F4" s="100"/>
      <c r="G4" s="19"/>
      <c r="H4" s="101"/>
      <c r="I4" s="101"/>
      <c r="J4" s="101"/>
      <c r="K4" s="101"/>
      <c r="M4" s="46" t="s">
        <v>8</v>
      </c>
      <c r="N4" s="94" t="s">
        <v>28</v>
      </c>
      <c r="O4" s="95"/>
    </row>
    <row r="5" spans="1:17" x14ac:dyDescent="0.25">
      <c r="B5" s="98" t="s">
        <v>4</v>
      </c>
      <c r="C5" s="98"/>
      <c r="D5" s="98"/>
      <c r="E5" s="98"/>
      <c r="F5" s="98"/>
      <c r="G5" s="98"/>
      <c r="H5" s="98"/>
      <c r="I5" s="98"/>
      <c r="J5" s="98"/>
      <c r="K5" s="98"/>
    </row>
    <row r="6" spans="1:17" x14ac:dyDescent="0.25">
      <c r="A6" t="s">
        <v>7</v>
      </c>
      <c r="B6" s="9">
        <v>150</v>
      </c>
      <c r="C6" s="15">
        <f>(B6/2)*(2^0.5-1)</f>
        <v>31.066017177982136</v>
      </c>
      <c r="D6" s="2">
        <v>10</v>
      </c>
      <c r="E6" s="4">
        <f>9.8</f>
        <v>9.8000000000000007</v>
      </c>
      <c r="F6" s="11">
        <f>(E6*10^-6*B6^2*D6)/(2*C6)</f>
        <v>3.5488939366884492E-2</v>
      </c>
      <c r="G6" s="7"/>
      <c r="H6" s="5">
        <v>179000</v>
      </c>
      <c r="I6">
        <v>30</v>
      </c>
      <c r="J6" s="20">
        <f>(E6*10^-6*H6*I6*F6^2*D6)/B6</f>
        <v>4.4187063653184592E-3</v>
      </c>
      <c r="K6" s="11">
        <f>J6/0.0098</f>
        <v>0.45088840462433261</v>
      </c>
    </row>
    <row r="7" spans="1:17" x14ac:dyDescent="0.25">
      <c r="A7" t="s">
        <v>8</v>
      </c>
      <c r="B7" s="9">
        <v>150</v>
      </c>
      <c r="C7" s="89">
        <f>(B7/2)*(2^0.5-1)</f>
        <v>31.066017177982136</v>
      </c>
      <c r="D7" s="2">
        <v>10</v>
      </c>
      <c r="E7" s="4">
        <v>20.8</v>
      </c>
      <c r="F7" s="11">
        <f>(E7*10^-6*B7^2*D7)/(2*C7)</f>
        <v>7.5323463146040562E-2</v>
      </c>
      <c r="G7" s="7"/>
      <c r="H7" s="5">
        <v>135000</v>
      </c>
      <c r="I7">
        <v>30</v>
      </c>
      <c r="J7" s="20">
        <f>(E7*10^-6*H7*I7*F7^2*D7)/B7</f>
        <v>3.1863072947357428E-2</v>
      </c>
      <c r="K7" s="12">
        <f>J7/0.0098</f>
        <v>3.2513339742201457</v>
      </c>
    </row>
    <row r="8" spans="1:17" x14ac:dyDescent="0.25">
      <c r="B8" s="98" t="s">
        <v>5</v>
      </c>
      <c r="C8" s="98"/>
      <c r="D8" s="98"/>
      <c r="E8" s="98"/>
      <c r="F8" s="98"/>
      <c r="G8" s="98"/>
      <c r="H8" s="98"/>
      <c r="I8" s="98"/>
      <c r="J8" s="98"/>
      <c r="K8" s="98"/>
    </row>
    <row r="9" spans="1:17" x14ac:dyDescent="0.25">
      <c r="A9" t="s">
        <v>7</v>
      </c>
      <c r="B9" s="9">
        <v>150</v>
      </c>
      <c r="C9" s="89">
        <f>(B9/2)*(2^0.5-1)</f>
        <v>31.066017177982136</v>
      </c>
      <c r="D9" s="10">
        <f>(C9*4*F9)/(E9*10^-6*B9^2)</f>
        <v>45.084469373942319</v>
      </c>
      <c r="E9" s="4">
        <f>9.8</f>
        <v>9.8000000000000007</v>
      </c>
      <c r="F9" s="9">
        <v>0.08</v>
      </c>
      <c r="G9" s="8"/>
      <c r="H9" s="5">
        <v>179000</v>
      </c>
      <c r="I9">
        <v>30</v>
      </c>
      <c r="J9" s="20">
        <f>(E9*10^-6*H9*I9*F9^2*D9)/B9</f>
        <v>0.10123158550498512</v>
      </c>
      <c r="K9" s="13">
        <f>J9/0.0098</f>
        <v>10.329753622957666</v>
      </c>
    </row>
    <row r="10" spans="1:17" x14ac:dyDescent="0.25">
      <c r="A10" t="s">
        <v>8</v>
      </c>
      <c r="B10" s="9">
        <v>150</v>
      </c>
      <c r="C10" s="89">
        <f>(B10/2)*(2^0.5-1)</f>
        <v>31.066017177982136</v>
      </c>
      <c r="D10" s="54">
        <f>(C10*4*F10)/(E10*10^-6*B10^2)</f>
        <v>21.241721147338211</v>
      </c>
      <c r="E10" s="4">
        <v>20.8</v>
      </c>
      <c r="F10" s="9">
        <v>0.08</v>
      </c>
      <c r="G10" s="8"/>
      <c r="H10" s="5">
        <v>135000</v>
      </c>
      <c r="I10">
        <v>30</v>
      </c>
      <c r="J10" s="20">
        <f t="shared" ref="J10" si="0">(E10*10^-6*H10*I10*F10^2*D10)/B10</f>
        <v>7.6347843816608904E-2</v>
      </c>
      <c r="K10" s="12">
        <f>J10/0.0098</f>
        <v>7.7905963078172356</v>
      </c>
    </row>
    <row r="11" spans="1:17" x14ac:dyDescent="0.25">
      <c r="B11" s="98" t="s">
        <v>6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7" x14ac:dyDescent="0.25">
      <c r="A12" t="s">
        <v>7</v>
      </c>
      <c r="B12" s="9">
        <v>150</v>
      </c>
      <c r="C12" s="14">
        <f>(E12*10^-6*B12^2*D12)/(4*F12)</f>
        <v>6.890625</v>
      </c>
      <c r="D12" s="2">
        <v>10</v>
      </c>
      <c r="E12" s="4">
        <f>9.8</f>
        <v>9.8000000000000007</v>
      </c>
      <c r="F12" s="9">
        <v>0.08</v>
      </c>
      <c r="G12" s="8"/>
      <c r="H12" s="5">
        <v>179000</v>
      </c>
      <c r="I12">
        <v>30</v>
      </c>
      <c r="J12" s="20">
        <f>(E12*10^-6*H12*I12*F12^2*D12)/B12</f>
        <v>2.2453760000000003E-2</v>
      </c>
      <c r="K12" s="12">
        <f>J12/0.0098</f>
        <v>2.2912000000000003</v>
      </c>
    </row>
    <row r="13" spans="1:17" x14ac:dyDescent="0.25">
      <c r="A13" t="s">
        <v>7</v>
      </c>
      <c r="B13" s="9">
        <v>150</v>
      </c>
      <c r="C13" s="11">
        <f>(E13*10^-6*B13^2*D13)/(4*F13)</f>
        <v>0.27562500000000001</v>
      </c>
      <c r="D13" s="2">
        <v>10</v>
      </c>
      <c r="E13" s="4">
        <f>9.8</f>
        <v>9.8000000000000007</v>
      </c>
      <c r="F13" s="9">
        <v>2</v>
      </c>
      <c r="G13" s="8"/>
      <c r="H13" s="5">
        <v>179000</v>
      </c>
      <c r="I13">
        <v>30</v>
      </c>
      <c r="J13" s="20">
        <f>(E13*10^-6*H13*I13*F13^2*D13)/B13</f>
        <v>14.0336</v>
      </c>
      <c r="K13" s="13">
        <f>J13/0.0098</f>
        <v>1432</v>
      </c>
    </row>
    <row r="14" spans="1:17" x14ac:dyDescent="0.25">
      <c r="A14" t="s">
        <v>8</v>
      </c>
      <c r="B14" s="9">
        <v>150</v>
      </c>
      <c r="C14" s="14">
        <f>(E14*10^-6*B14^2*D14)/(4*F14)</f>
        <v>14.625000000000002</v>
      </c>
      <c r="D14" s="2">
        <v>10</v>
      </c>
      <c r="E14" s="4">
        <v>20.8</v>
      </c>
      <c r="F14" s="9">
        <v>0.08</v>
      </c>
      <c r="G14" s="8"/>
      <c r="H14" s="5">
        <v>135000</v>
      </c>
      <c r="I14">
        <v>30</v>
      </c>
      <c r="J14" s="20">
        <f>(E14*10^-6*H14*I14*F14^2*D14)/B14</f>
        <v>3.5942400000000006E-2</v>
      </c>
      <c r="K14" s="12">
        <f>J14/0.0098</f>
        <v>3.6675918367346947</v>
      </c>
    </row>
    <row r="15" spans="1:17" x14ac:dyDescent="0.25">
      <c r="A15" t="s">
        <v>8</v>
      </c>
      <c r="B15" s="9">
        <v>150</v>
      </c>
      <c r="C15" s="1">
        <f>(E15*10^-6*B15^2*D15)/(4*F15)</f>
        <v>0.58500000000000008</v>
      </c>
      <c r="D15" s="2">
        <v>10</v>
      </c>
      <c r="E15" s="4">
        <v>20.8</v>
      </c>
      <c r="F15" s="9">
        <v>2</v>
      </c>
      <c r="G15" s="8"/>
      <c r="H15" s="5">
        <v>135000</v>
      </c>
      <c r="I15">
        <v>30</v>
      </c>
      <c r="J15" s="20">
        <f>(E15*10^-6*H15*I15*F15^2*D15)/B15</f>
        <v>22.464000000000002</v>
      </c>
      <c r="K15" s="13">
        <f>J15/0.0098</f>
        <v>2292.2448979591841</v>
      </c>
    </row>
    <row r="16" spans="1:17" x14ac:dyDescent="0.25">
      <c r="B16" s="98" t="s">
        <v>14</v>
      </c>
      <c r="C16" s="98"/>
      <c r="D16" s="98"/>
      <c r="E16" s="98"/>
      <c r="F16" s="98"/>
      <c r="G16" s="98"/>
      <c r="H16" s="98"/>
      <c r="I16" s="98"/>
      <c r="J16" s="98"/>
      <c r="K16" s="98"/>
    </row>
    <row r="17" spans="1:11" x14ac:dyDescent="0.25">
      <c r="A17" s="98" t="s">
        <v>7</v>
      </c>
      <c r="B17" s="16">
        <v>1352.5340812182699</v>
      </c>
      <c r="C17" s="89">
        <f>(B17/2)*(2^0.5-1)</f>
        <v>280.1189800062204</v>
      </c>
      <c r="D17" s="1">
        <v>5</v>
      </c>
      <c r="E17" s="4">
        <f t="shared" ref="E17:E21" si="1">9.8</f>
        <v>9.8000000000000007</v>
      </c>
      <c r="F17" s="9">
        <f t="shared" ref="F17:F44" si="2">(E17*10^-6*B17^2*D17)/(4*C17)</f>
        <v>8.0000000000000016E-2</v>
      </c>
      <c r="G17" s="8"/>
      <c r="H17" s="5">
        <v>179000</v>
      </c>
      <c r="I17">
        <v>30</v>
      </c>
      <c r="J17" s="20">
        <f t="shared" ref="J17:J44" si="3">(E17*10^-6*H17*I17*F17^2*D17)/B17</f>
        <v>1.2450939487477759E-3</v>
      </c>
      <c r="K17" s="11">
        <f t="shared" ref="K17:K44" si="4">J17/0.0098</f>
        <v>0.12705040293344652</v>
      </c>
    </row>
    <row r="18" spans="1:11" x14ac:dyDescent="0.25">
      <c r="A18" s="98"/>
      <c r="B18" s="16">
        <v>676.26704060913471</v>
      </c>
      <c r="C18" s="89">
        <f>(B18/2)*(2^0.5-1)</f>
        <v>140.05949000311014</v>
      </c>
      <c r="D18" s="2">
        <v>10</v>
      </c>
      <c r="E18" s="4">
        <f t="shared" si="1"/>
        <v>9.8000000000000007</v>
      </c>
      <c r="F18" s="9">
        <f t="shared" si="2"/>
        <v>7.9999999999999988E-2</v>
      </c>
      <c r="G18" s="8"/>
      <c r="H18" s="5">
        <v>179000</v>
      </c>
      <c r="I18">
        <v>30</v>
      </c>
      <c r="J18" s="20">
        <f t="shared" si="3"/>
        <v>4.980375794991102E-3</v>
      </c>
      <c r="K18" s="11">
        <f t="shared" si="4"/>
        <v>0.50820161173378597</v>
      </c>
    </row>
    <row r="19" spans="1:11" x14ac:dyDescent="0.25">
      <c r="A19" s="98"/>
      <c r="B19" s="16">
        <v>450.84469373942335</v>
      </c>
      <c r="C19" s="89">
        <f t="shared" ref="C19:C36" si="5">(B19/2)*(2^0.5-1)</f>
        <v>93.372993335406804</v>
      </c>
      <c r="D19" s="2">
        <v>15</v>
      </c>
      <c r="E19" s="4">
        <f t="shared" si="1"/>
        <v>9.8000000000000007</v>
      </c>
      <c r="F19" s="9">
        <f t="shared" si="2"/>
        <v>8.0000000000000016E-2</v>
      </c>
      <c r="G19" s="8"/>
      <c r="H19" s="5">
        <v>179000</v>
      </c>
      <c r="I19">
        <v>30</v>
      </c>
      <c r="J19" s="20">
        <f t="shared" si="3"/>
        <v>1.1205845538729983E-2</v>
      </c>
      <c r="K19" s="11">
        <f t="shared" si="4"/>
        <v>1.1434536264010187</v>
      </c>
    </row>
    <row r="20" spans="1:11" x14ac:dyDescent="0.25">
      <c r="A20" s="98"/>
      <c r="B20" s="16">
        <v>338.13352030456758</v>
      </c>
      <c r="C20" s="89">
        <f t="shared" si="5"/>
        <v>70.029745001555114</v>
      </c>
      <c r="D20" s="9">
        <v>20</v>
      </c>
      <c r="E20" s="4">
        <f t="shared" si="1"/>
        <v>9.8000000000000007</v>
      </c>
      <c r="F20" s="9">
        <f t="shared" si="2"/>
        <v>8.0000000000000029E-2</v>
      </c>
      <c r="G20" s="8"/>
      <c r="H20" s="5">
        <v>179000</v>
      </c>
      <c r="I20">
        <v>30</v>
      </c>
      <c r="J20" s="20">
        <f t="shared" si="3"/>
        <v>1.9921503179964418E-2</v>
      </c>
      <c r="K20" s="11">
        <f t="shared" si="4"/>
        <v>2.0328064469351448</v>
      </c>
    </row>
    <row r="21" spans="1:11" x14ac:dyDescent="0.25">
      <c r="A21" s="98"/>
      <c r="B21" s="21">
        <v>270.50681624365376</v>
      </c>
      <c r="C21" s="89">
        <f t="shared" si="5"/>
        <v>56.02379600124403</v>
      </c>
      <c r="D21" s="9">
        <v>25</v>
      </c>
      <c r="E21" s="4">
        <f t="shared" si="1"/>
        <v>9.8000000000000007</v>
      </c>
      <c r="F21" s="9">
        <f t="shared" si="2"/>
        <v>7.9999999999999932E-2</v>
      </c>
      <c r="G21" s="8"/>
      <c r="H21" s="5">
        <v>179000</v>
      </c>
      <c r="I21">
        <v>30</v>
      </c>
      <c r="J21" s="20">
        <f t="shared" si="3"/>
        <v>3.112734871869436E-2</v>
      </c>
      <c r="K21" s="12">
        <f t="shared" si="4"/>
        <v>3.1762600733361595</v>
      </c>
    </row>
    <row r="22" spans="1:11" x14ac:dyDescent="0.25">
      <c r="A22" s="96" t="s">
        <v>8</v>
      </c>
      <c r="B22" s="25">
        <v>637.25163442014662</v>
      </c>
      <c r="C22" s="89">
        <f t="shared" si="5"/>
        <v>131.97913481062312</v>
      </c>
      <c r="D22" s="53">
        <v>5</v>
      </c>
      <c r="E22" s="27">
        <v>20.8</v>
      </c>
      <c r="F22" s="26">
        <f t="shared" si="2"/>
        <v>8.0000000000000029E-2</v>
      </c>
      <c r="G22" s="28"/>
      <c r="H22" s="29">
        <v>135000</v>
      </c>
      <c r="I22" s="30">
        <v>30</v>
      </c>
      <c r="J22" s="31">
        <f t="shared" si="3"/>
        <v>4.2301656902816393E-3</v>
      </c>
      <c r="K22" s="32">
        <f t="shared" si="4"/>
        <v>0.43164956023282036</v>
      </c>
    </row>
    <row r="23" spans="1:11" x14ac:dyDescent="0.25">
      <c r="A23" s="96"/>
      <c r="B23" s="25">
        <v>318.62581721007331</v>
      </c>
      <c r="C23" s="89">
        <f t="shared" si="5"/>
        <v>65.989567405311561</v>
      </c>
      <c r="D23" s="36">
        <v>10</v>
      </c>
      <c r="E23" s="27">
        <v>20.8</v>
      </c>
      <c r="F23" s="26">
        <f t="shared" si="2"/>
        <v>8.0000000000000029E-2</v>
      </c>
      <c r="G23" s="28"/>
      <c r="H23" s="29">
        <v>135000</v>
      </c>
      <c r="I23" s="30">
        <v>30</v>
      </c>
      <c r="J23" s="31">
        <f t="shared" si="3"/>
        <v>1.6920662761126557E-2</v>
      </c>
      <c r="K23" s="32">
        <f t="shared" si="4"/>
        <v>1.7265982409312814</v>
      </c>
    </row>
    <row r="24" spans="1:11" x14ac:dyDescent="0.25">
      <c r="A24" s="96"/>
      <c r="B24" s="34">
        <v>212.41721147338205</v>
      </c>
      <c r="C24" s="89">
        <f t="shared" si="5"/>
        <v>43.993044936874341</v>
      </c>
      <c r="D24" s="36">
        <v>15</v>
      </c>
      <c r="E24" s="27">
        <v>20.8</v>
      </c>
      <c r="F24" s="26">
        <f t="shared" si="2"/>
        <v>7.9999999999999988E-2</v>
      </c>
      <c r="G24" s="28"/>
      <c r="H24" s="29">
        <v>135000</v>
      </c>
      <c r="I24" s="30">
        <v>30</v>
      </c>
      <c r="J24" s="31">
        <f t="shared" si="3"/>
        <v>3.8071491212534739E-2</v>
      </c>
      <c r="K24" s="33">
        <f t="shared" si="4"/>
        <v>3.8848460420953814</v>
      </c>
    </row>
    <row r="25" spans="1:11" x14ac:dyDescent="0.25">
      <c r="A25" s="96"/>
      <c r="B25" s="35">
        <v>159.31290860503645</v>
      </c>
      <c r="C25" s="89">
        <f t="shared" si="5"/>
        <v>32.994783702655738</v>
      </c>
      <c r="D25" s="26">
        <v>20</v>
      </c>
      <c r="E25" s="27">
        <v>20.8</v>
      </c>
      <c r="F25" s="26">
        <f t="shared" si="2"/>
        <v>7.9999999999999918E-2</v>
      </c>
      <c r="G25" s="28"/>
      <c r="H25" s="29">
        <v>135000</v>
      </c>
      <c r="I25" s="30">
        <v>30</v>
      </c>
      <c r="J25" s="31">
        <f t="shared" si="3"/>
        <v>6.7682651044506131E-2</v>
      </c>
      <c r="K25" s="33">
        <f t="shared" si="4"/>
        <v>6.906392963725116</v>
      </c>
    </row>
    <row r="26" spans="1:11" x14ac:dyDescent="0.25">
      <c r="A26" s="97"/>
      <c r="B26" s="37">
        <v>127.45032688402907</v>
      </c>
      <c r="C26" s="89">
        <f t="shared" si="5"/>
        <v>26.39582696212457</v>
      </c>
      <c r="D26" s="40">
        <v>25</v>
      </c>
      <c r="E26" s="39">
        <v>20.8</v>
      </c>
      <c r="F26" s="40">
        <f t="shared" si="2"/>
        <v>7.9999999999999877E-2</v>
      </c>
      <c r="G26" s="41"/>
      <c r="H26" s="42">
        <v>135000</v>
      </c>
      <c r="I26" s="43">
        <v>30</v>
      </c>
      <c r="J26" s="44">
        <f t="shared" si="3"/>
        <v>0.10575414225704079</v>
      </c>
      <c r="K26" s="45">
        <f t="shared" si="4"/>
        <v>10.791239005820488</v>
      </c>
    </row>
    <row r="27" spans="1:11" x14ac:dyDescent="0.25">
      <c r="A27" s="98" t="s">
        <v>7</v>
      </c>
      <c r="B27" s="16">
        <v>8453.3380076141857</v>
      </c>
      <c r="C27" s="89">
        <f t="shared" si="5"/>
        <v>1750.7436250388771</v>
      </c>
      <c r="D27" s="1">
        <v>5</v>
      </c>
      <c r="E27" s="22">
        <f t="shared" ref="E27:E31" si="6">9.8</f>
        <v>9.8000000000000007</v>
      </c>
      <c r="F27" s="9">
        <f t="shared" si="2"/>
        <v>0.49999999999999994</v>
      </c>
      <c r="G27" s="8"/>
      <c r="H27" s="23">
        <v>179000</v>
      </c>
      <c r="I27">
        <v>30</v>
      </c>
      <c r="J27" s="24">
        <f t="shared" si="3"/>
        <v>7.7818371796735952E-3</v>
      </c>
      <c r="K27" s="11">
        <f t="shared" si="4"/>
        <v>0.79406501833404031</v>
      </c>
    </row>
    <row r="28" spans="1:11" x14ac:dyDescent="0.25">
      <c r="A28" s="98"/>
      <c r="B28" s="16">
        <v>4226.6690038070938</v>
      </c>
      <c r="C28" s="89">
        <f t="shared" si="5"/>
        <v>875.37181251943878</v>
      </c>
      <c r="D28" s="2">
        <v>10</v>
      </c>
      <c r="E28" s="4">
        <f t="shared" si="6"/>
        <v>9.8000000000000007</v>
      </c>
      <c r="F28" s="9">
        <f>(E28*10^-6*B28^2*D28)/(4*C28)</f>
        <v>0.50000000000000011</v>
      </c>
      <c r="G28" s="8"/>
      <c r="H28" s="5">
        <v>179000</v>
      </c>
      <c r="I28">
        <v>30</v>
      </c>
      <c r="J28" s="20">
        <f t="shared" si="3"/>
        <v>3.1127348718694395E-2</v>
      </c>
      <c r="K28" s="12">
        <f t="shared" si="4"/>
        <v>3.176260073336163</v>
      </c>
    </row>
    <row r="29" spans="1:11" x14ac:dyDescent="0.25">
      <c r="A29" s="98"/>
      <c r="B29" s="16">
        <v>2113.3345019035464</v>
      </c>
      <c r="C29" s="89">
        <f t="shared" si="5"/>
        <v>437.68590625971927</v>
      </c>
      <c r="D29" s="9">
        <v>20</v>
      </c>
      <c r="E29" s="4">
        <f t="shared" si="6"/>
        <v>9.8000000000000007</v>
      </c>
      <c r="F29" s="9">
        <f t="shared" si="2"/>
        <v>0.49999999999999994</v>
      </c>
      <c r="G29" s="8"/>
      <c r="H29" s="5">
        <v>179000</v>
      </c>
      <c r="I29">
        <v>30</v>
      </c>
      <c r="J29" s="20">
        <f t="shared" si="3"/>
        <v>0.12450939487477752</v>
      </c>
      <c r="K29" s="13">
        <f t="shared" si="4"/>
        <v>12.705040293344645</v>
      </c>
    </row>
    <row r="30" spans="1:11" x14ac:dyDescent="0.25">
      <c r="A30" s="98"/>
      <c r="B30" s="16">
        <v>1408.8896679356976</v>
      </c>
      <c r="C30" s="89">
        <f t="shared" si="5"/>
        <v>291.79060417314622</v>
      </c>
      <c r="D30" s="9">
        <v>30</v>
      </c>
      <c r="E30" s="4">
        <f t="shared" si="6"/>
        <v>9.8000000000000007</v>
      </c>
      <c r="F30" s="9">
        <f t="shared" si="2"/>
        <v>0.49999999999999989</v>
      </c>
      <c r="G30" s="8"/>
      <c r="H30" s="5">
        <v>179000</v>
      </c>
      <c r="I30">
        <v>30</v>
      </c>
      <c r="J30" s="20">
        <f t="shared" si="3"/>
        <v>0.28014613846824943</v>
      </c>
      <c r="K30" s="13">
        <f t="shared" si="4"/>
        <v>28.586340660025453</v>
      </c>
    </row>
    <row r="31" spans="1:11" x14ac:dyDescent="0.25">
      <c r="A31" s="98"/>
      <c r="B31" s="16">
        <v>1056.6672509517732</v>
      </c>
      <c r="C31" s="89">
        <f t="shared" si="5"/>
        <v>218.84295312985964</v>
      </c>
      <c r="D31" s="2">
        <v>40</v>
      </c>
      <c r="E31" s="4">
        <f t="shared" si="6"/>
        <v>9.8000000000000007</v>
      </c>
      <c r="F31" s="9">
        <f t="shared" si="2"/>
        <v>0.49999999999999994</v>
      </c>
      <c r="G31" s="8"/>
      <c r="H31" s="5">
        <v>179000</v>
      </c>
      <c r="I31">
        <v>30</v>
      </c>
      <c r="J31" s="20">
        <f t="shared" si="3"/>
        <v>0.49803757949911009</v>
      </c>
      <c r="K31" s="13">
        <f t="shared" si="4"/>
        <v>50.82016117337858</v>
      </c>
    </row>
    <row r="32" spans="1:11" x14ac:dyDescent="0.25">
      <c r="A32" s="96" t="s">
        <v>8</v>
      </c>
      <c r="B32" s="25">
        <v>3982.8227151259161</v>
      </c>
      <c r="C32" s="89">
        <f t="shared" si="5"/>
        <v>824.86959256639443</v>
      </c>
      <c r="D32" s="53">
        <v>5</v>
      </c>
      <c r="E32" s="27">
        <v>20.8</v>
      </c>
      <c r="F32" s="26">
        <f t="shared" si="2"/>
        <v>0.50000000000000011</v>
      </c>
      <c r="G32" s="28"/>
      <c r="H32" s="29">
        <v>135000</v>
      </c>
      <c r="I32" s="30">
        <v>30</v>
      </c>
      <c r="J32" s="31">
        <f t="shared" si="3"/>
        <v>2.6438535564260242E-2</v>
      </c>
      <c r="K32" s="32">
        <f t="shared" si="4"/>
        <v>2.6978097514551269</v>
      </c>
    </row>
    <row r="33" spans="1:11" x14ac:dyDescent="0.25">
      <c r="A33" s="96"/>
      <c r="B33" s="25">
        <v>1991.4113575629581</v>
      </c>
      <c r="C33" s="89">
        <f t="shared" si="5"/>
        <v>412.43479628319722</v>
      </c>
      <c r="D33" s="36">
        <v>10</v>
      </c>
      <c r="E33" s="27">
        <v>20.8</v>
      </c>
      <c r="F33" s="26">
        <f t="shared" si="2"/>
        <v>0.50000000000000011</v>
      </c>
      <c r="G33" s="28"/>
      <c r="H33" s="29">
        <v>135000</v>
      </c>
      <c r="I33" s="30">
        <v>30</v>
      </c>
      <c r="J33" s="31">
        <f t="shared" si="3"/>
        <v>0.10575414225704097</v>
      </c>
      <c r="K33" s="51">
        <f t="shared" si="4"/>
        <v>10.791239005820508</v>
      </c>
    </row>
    <row r="34" spans="1:11" x14ac:dyDescent="0.25">
      <c r="A34" s="96"/>
      <c r="B34" s="25">
        <v>995.70567878147858</v>
      </c>
      <c r="C34" s="89">
        <f t="shared" si="5"/>
        <v>206.21739814159852</v>
      </c>
      <c r="D34" s="26">
        <v>20</v>
      </c>
      <c r="E34" s="27">
        <v>20.8</v>
      </c>
      <c r="F34" s="26">
        <f t="shared" si="2"/>
        <v>0.49999999999999994</v>
      </c>
      <c r="G34" s="28"/>
      <c r="H34" s="29">
        <v>135000</v>
      </c>
      <c r="I34" s="30">
        <v>30</v>
      </c>
      <c r="J34" s="31">
        <f t="shared" si="3"/>
        <v>0.42301656902816376</v>
      </c>
      <c r="K34" s="51">
        <f t="shared" si="4"/>
        <v>43.164956023282016</v>
      </c>
    </row>
    <row r="35" spans="1:11" x14ac:dyDescent="0.25">
      <c r="A35" s="96"/>
      <c r="B35" s="25">
        <v>663.80378585431913</v>
      </c>
      <c r="C35" s="89">
        <f t="shared" si="5"/>
        <v>137.47826542773237</v>
      </c>
      <c r="D35" s="26">
        <v>30</v>
      </c>
      <c r="E35" s="27">
        <v>20.8</v>
      </c>
      <c r="F35" s="26">
        <f t="shared" si="2"/>
        <v>0.5</v>
      </c>
      <c r="G35" s="28"/>
      <c r="H35" s="29">
        <v>135000</v>
      </c>
      <c r="I35" s="30">
        <v>30</v>
      </c>
      <c r="J35" s="31">
        <f t="shared" si="3"/>
        <v>0.95178728031336846</v>
      </c>
      <c r="K35" s="51">
        <f t="shared" si="4"/>
        <v>97.121151052384533</v>
      </c>
    </row>
    <row r="36" spans="1:11" x14ac:dyDescent="0.25">
      <c r="A36" s="97"/>
      <c r="B36" s="52">
        <v>497.8528393907394</v>
      </c>
      <c r="C36" s="89">
        <f t="shared" si="5"/>
        <v>103.10869907079928</v>
      </c>
      <c r="D36" s="38">
        <v>40</v>
      </c>
      <c r="E36" s="39">
        <v>20.8</v>
      </c>
      <c r="F36" s="40">
        <f t="shared" si="2"/>
        <v>0.50000000000000011</v>
      </c>
      <c r="G36" s="41"/>
      <c r="H36" s="42">
        <v>135000</v>
      </c>
      <c r="I36" s="43">
        <v>30</v>
      </c>
      <c r="J36" s="44">
        <f t="shared" si="3"/>
        <v>1.6920662761126557</v>
      </c>
      <c r="K36" s="45">
        <f t="shared" si="4"/>
        <v>172.65982409312815</v>
      </c>
    </row>
    <row r="38" spans="1:11" x14ac:dyDescent="0.25">
      <c r="A38" t="s">
        <v>32</v>
      </c>
    </row>
    <row r="39" spans="1:11" x14ac:dyDescent="0.25">
      <c r="A39" t="s">
        <v>33</v>
      </c>
    </row>
    <row r="40" spans="1:11" ht="30" customHeight="1" x14ac:dyDescent="0.25">
      <c r="A40" s="102" t="s">
        <v>34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x14ac:dyDescent="0.25">
      <c r="A41" s="96" t="s">
        <v>8</v>
      </c>
      <c r="B41" s="25">
        <v>225</v>
      </c>
      <c r="C41" s="89">
        <f t="shared" ref="C41:C44" si="7">(B41/2)*(2^0.5-1)</f>
        <v>46.599025766973206</v>
      </c>
      <c r="D41" s="36">
        <v>40</v>
      </c>
      <c r="E41" s="22">
        <v>20.8</v>
      </c>
      <c r="F41" s="26">
        <f t="shared" si="2"/>
        <v>0.22597038943812162</v>
      </c>
      <c r="G41" s="28"/>
      <c r="H41" s="23">
        <v>135000</v>
      </c>
      <c r="I41" s="30">
        <v>30</v>
      </c>
      <c r="J41" s="24">
        <f t="shared" si="3"/>
        <v>0.76471375073657777</v>
      </c>
      <c r="K41" s="51">
        <f t="shared" si="4"/>
        <v>78.032015381283443</v>
      </c>
    </row>
    <row r="42" spans="1:11" ht="15.75" thickBot="1" x14ac:dyDescent="0.3">
      <c r="A42" s="96"/>
      <c r="B42" s="34">
        <v>175</v>
      </c>
      <c r="C42" s="55">
        <f t="shared" si="7"/>
        <v>36.243686707645828</v>
      </c>
      <c r="D42" s="36">
        <v>40</v>
      </c>
      <c r="E42" s="56">
        <v>20.8</v>
      </c>
      <c r="F42" s="26">
        <f t="shared" si="2"/>
        <v>0.17575474734076127</v>
      </c>
      <c r="G42" s="28"/>
      <c r="H42" s="57">
        <v>135000</v>
      </c>
      <c r="I42" s="30">
        <v>30</v>
      </c>
      <c r="J42" s="58">
        <f t="shared" si="3"/>
        <v>0.59477736168400497</v>
      </c>
      <c r="K42" s="51">
        <f t="shared" si="4"/>
        <v>60.691567518776019</v>
      </c>
    </row>
    <row r="43" spans="1:11" x14ac:dyDescent="0.25">
      <c r="A43" s="96"/>
      <c r="B43" s="122">
        <v>149.35585181722178</v>
      </c>
      <c r="C43" s="118">
        <f t="shared" si="7"/>
        <v>30.932609721239775</v>
      </c>
      <c r="D43" s="127">
        <v>40</v>
      </c>
      <c r="E43" s="128">
        <v>20.8</v>
      </c>
      <c r="F43" s="123">
        <f t="shared" si="2"/>
        <v>0.15</v>
      </c>
      <c r="G43" s="129"/>
      <c r="H43" s="126">
        <v>135000</v>
      </c>
      <c r="I43" s="131">
        <v>30</v>
      </c>
      <c r="J43" s="119">
        <f t="shared" si="3"/>
        <v>0.50761988283379655</v>
      </c>
      <c r="K43" s="124">
        <f t="shared" si="4"/>
        <v>51.797947227938423</v>
      </c>
    </row>
    <row r="44" spans="1:11" ht="15.75" thickBot="1" x14ac:dyDescent="0.3">
      <c r="A44" s="97"/>
      <c r="B44" s="78">
        <v>100</v>
      </c>
      <c r="C44" s="120">
        <f t="shared" si="7"/>
        <v>20.710678118654759</v>
      </c>
      <c r="D44" s="79">
        <v>40</v>
      </c>
      <c r="E44" s="80">
        <v>20.8</v>
      </c>
      <c r="F44" s="81">
        <f t="shared" si="2"/>
        <v>0.10043128419472072</v>
      </c>
      <c r="G44" s="130"/>
      <c r="H44" s="83">
        <v>135000</v>
      </c>
      <c r="I44" s="132">
        <v>30</v>
      </c>
      <c r="J44" s="121">
        <f t="shared" si="3"/>
        <v>0.3398727781051456</v>
      </c>
      <c r="K44" s="125">
        <f t="shared" si="4"/>
        <v>34.680895725014857</v>
      </c>
    </row>
    <row r="45" spans="1:11" ht="30" customHeight="1" x14ac:dyDescent="0.25">
      <c r="A45" s="102" t="s">
        <v>35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x14ac:dyDescent="0.25">
      <c r="A46" s="96" t="s">
        <v>7</v>
      </c>
      <c r="B46" s="16">
        <v>225</v>
      </c>
      <c r="C46" s="89">
        <f t="shared" ref="C46:C48" si="8">(B46/2)*(2^0.5-1)</f>
        <v>46.599025766973206</v>
      </c>
      <c r="D46" s="2">
        <v>40</v>
      </c>
      <c r="E46" s="22">
        <f t="shared" ref="E46:E48" si="9">9.8</f>
        <v>9.8000000000000007</v>
      </c>
      <c r="F46" s="9">
        <f t="shared" ref="F46:F47" si="10">(E46*10^-6*B46^2*D46)/(4*C46)</f>
        <v>0.10646681810065348</v>
      </c>
      <c r="G46" s="8"/>
      <c r="H46" s="23">
        <v>179000</v>
      </c>
      <c r="I46">
        <v>30</v>
      </c>
      <c r="J46" s="24">
        <f t="shared" ref="J46:J48" si="11">(E46*10^-6*H46*I46*F46^2*D46)/B46</f>
        <v>0.10604895276764302</v>
      </c>
      <c r="K46" s="13">
        <f t="shared" ref="K46:K48" si="12">J46/0.0098</f>
        <v>10.821321710983982</v>
      </c>
    </row>
    <row r="47" spans="1:11" ht="15.75" thickBot="1" x14ac:dyDescent="0.3">
      <c r="A47" s="96"/>
      <c r="B47" s="16">
        <v>200</v>
      </c>
      <c r="C47" s="89">
        <f t="shared" si="8"/>
        <v>41.421356237309517</v>
      </c>
      <c r="D47" s="2">
        <v>40</v>
      </c>
      <c r="E47" s="56">
        <f t="shared" si="9"/>
        <v>9.8000000000000007</v>
      </c>
      <c r="F47" s="2">
        <f t="shared" si="10"/>
        <v>9.4637171645025289E-2</v>
      </c>
      <c r="G47" s="8"/>
      <c r="H47" s="57">
        <v>179000</v>
      </c>
      <c r="I47">
        <v>30</v>
      </c>
      <c r="J47" s="58">
        <f t="shared" si="11"/>
        <v>9.4265735793460426E-2</v>
      </c>
      <c r="K47" s="12">
        <f t="shared" si="12"/>
        <v>9.6189526319857581</v>
      </c>
    </row>
    <row r="48" spans="1:11" ht="15.75" thickBot="1" x14ac:dyDescent="0.3">
      <c r="A48" s="97"/>
      <c r="B48" s="68">
        <v>169.06676015228373</v>
      </c>
      <c r="C48" s="90">
        <f t="shared" si="8"/>
        <v>35.01487250077755</v>
      </c>
      <c r="D48" s="70">
        <v>40</v>
      </c>
      <c r="E48" s="71">
        <f t="shared" si="9"/>
        <v>9.8000000000000007</v>
      </c>
      <c r="F48" s="70">
        <f>(E48*10^-6*B48^2*D48)/(4*C48)</f>
        <v>8.0000000000000016E-2</v>
      </c>
      <c r="G48" s="72"/>
      <c r="H48" s="73">
        <v>179000</v>
      </c>
      <c r="I48" s="74">
        <v>30</v>
      </c>
      <c r="J48" s="75">
        <f t="shared" si="11"/>
        <v>7.968601271985766E-2</v>
      </c>
      <c r="K48" s="76">
        <f t="shared" si="12"/>
        <v>8.1312257877405774</v>
      </c>
    </row>
    <row r="50" spans="1:1" x14ac:dyDescent="0.25">
      <c r="A50" t="s">
        <v>36</v>
      </c>
    </row>
  </sheetData>
  <dataConsolidate/>
  <mergeCells count="19">
    <mergeCell ref="B2:K2"/>
    <mergeCell ref="M2:Q2"/>
    <mergeCell ref="J3:K3"/>
    <mergeCell ref="N3:O3"/>
    <mergeCell ref="B4:F4"/>
    <mergeCell ref="H4:K4"/>
    <mergeCell ref="N4:O4"/>
    <mergeCell ref="A46:A48"/>
    <mergeCell ref="B5:K5"/>
    <mergeCell ref="B8:K8"/>
    <mergeCell ref="B11:K11"/>
    <mergeCell ref="B16:K16"/>
    <mergeCell ref="A17:A21"/>
    <mergeCell ref="A22:A26"/>
    <mergeCell ref="A27:A31"/>
    <mergeCell ref="A32:A36"/>
    <mergeCell ref="A40:K40"/>
    <mergeCell ref="A41:A44"/>
    <mergeCell ref="A45:K45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zoomScaleNormal="100" workbookViewId="0">
      <selection activeCell="A2" sqref="A2"/>
    </sheetView>
  </sheetViews>
  <sheetFormatPr defaultRowHeight="15" x14ac:dyDescent="0.25"/>
  <cols>
    <col min="5" max="5" width="2.85546875" customWidth="1"/>
    <col min="9" max="9" width="2.85546875" customWidth="1"/>
    <col min="13" max="13" width="2.85546875" customWidth="1"/>
    <col min="17" max="17" width="2.85546875" customWidth="1"/>
    <col min="20" max="20" width="9.140625" customWidth="1"/>
    <col min="21" max="21" width="2.7109375" customWidth="1"/>
  </cols>
  <sheetData>
    <row r="1" spans="1:37" ht="20.25" customHeight="1" thickBot="1" x14ac:dyDescent="0.35">
      <c r="A1" s="103" t="s">
        <v>57</v>
      </c>
      <c r="B1" s="103"/>
      <c r="C1" s="103"/>
      <c r="D1" s="103"/>
      <c r="E1" s="103"/>
      <c r="F1" s="103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</row>
    <row r="2" spans="1:37" ht="15.75" thickTop="1" x14ac:dyDescent="0.25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ht="18.75" customHeight="1" thickBot="1" x14ac:dyDescent="0.35">
      <c r="A4" s="87"/>
      <c r="B4" s="108" t="s">
        <v>38</v>
      </c>
      <c r="C4" s="108"/>
      <c r="D4" s="108"/>
      <c r="E4" s="87"/>
      <c r="F4" s="108" t="s">
        <v>39</v>
      </c>
      <c r="G4" s="108"/>
      <c r="H4" s="108"/>
      <c r="I4" s="87"/>
      <c r="J4" s="108" t="s">
        <v>40</v>
      </c>
      <c r="K4" s="108"/>
      <c r="L4" s="108"/>
      <c r="M4" s="87"/>
      <c r="N4" s="108" t="s">
        <v>48</v>
      </c>
      <c r="O4" s="108"/>
      <c r="P4" s="108"/>
      <c r="Q4" s="87"/>
      <c r="R4" s="108" t="s">
        <v>42</v>
      </c>
      <c r="S4" s="108"/>
      <c r="T4" s="108"/>
      <c r="U4" s="87"/>
      <c r="V4" s="108" t="s">
        <v>39</v>
      </c>
      <c r="W4" s="108"/>
      <c r="X4" s="108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</row>
    <row r="5" spans="1:37" ht="15.75" thickTop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</row>
    <row r="6" spans="1:37" ht="15" customHeight="1" x14ac:dyDescent="0.25">
      <c r="A6" s="87"/>
      <c r="B6" s="104" t="s">
        <v>37</v>
      </c>
      <c r="C6" s="104"/>
      <c r="D6" s="104"/>
      <c r="E6" s="87"/>
      <c r="F6" s="104" t="s">
        <v>51</v>
      </c>
      <c r="G6" s="104"/>
      <c r="H6" s="104"/>
      <c r="I6" s="87"/>
      <c r="J6" s="104" t="s">
        <v>45</v>
      </c>
      <c r="K6" s="104"/>
      <c r="L6" s="104"/>
      <c r="M6" s="87"/>
      <c r="N6" s="104" t="s">
        <v>49</v>
      </c>
      <c r="O6" s="104"/>
      <c r="P6" s="104"/>
      <c r="Q6" s="87"/>
      <c r="R6" s="104" t="s">
        <v>44</v>
      </c>
      <c r="S6" s="104"/>
      <c r="T6" s="104"/>
      <c r="U6" s="87"/>
      <c r="V6" s="104" t="s">
        <v>46</v>
      </c>
      <c r="W6" s="104"/>
      <c r="X6" s="104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37" x14ac:dyDescent="0.25">
      <c r="A7" s="87"/>
      <c r="B7" s="104"/>
      <c r="C7" s="104"/>
      <c r="D7" s="104"/>
      <c r="E7" s="87"/>
      <c r="F7" s="104"/>
      <c r="G7" s="104"/>
      <c r="H7" s="104"/>
      <c r="I7" s="87"/>
      <c r="J7" s="104"/>
      <c r="K7" s="104"/>
      <c r="L7" s="104"/>
      <c r="M7" s="87"/>
      <c r="N7" s="104"/>
      <c r="O7" s="104"/>
      <c r="P7" s="104"/>
      <c r="Q7" s="87"/>
      <c r="R7" s="104"/>
      <c r="S7" s="104"/>
      <c r="T7" s="104"/>
      <c r="U7" s="87"/>
      <c r="V7" s="116"/>
      <c r="W7" s="116"/>
      <c r="X7" s="116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</row>
    <row r="8" spans="1:37" x14ac:dyDescent="0.25">
      <c r="A8" s="87"/>
      <c r="B8" s="113">
        <v>150</v>
      </c>
      <c r="C8" s="114"/>
      <c r="D8" s="115"/>
      <c r="E8" s="87"/>
      <c r="F8" s="117">
        <f>(B8/2)*(2^0.5-1)</f>
        <v>31.066017177982136</v>
      </c>
      <c r="G8" s="117"/>
      <c r="H8" s="117"/>
      <c r="I8" s="87"/>
      <c r="J8" s="109">
        <v>20.8</v>
      </c>
      <c r="K8" s="109"/>
      <c r="L8" s="109"/>
      <c r="M8" s="87"/>
      <c r="N8" s="105">
        <f>(J8*10^-6*B8^2*J12)/(4*F8)</f>
        <v>0.15064692629208112</v>
      </c>
      <c r="O8" s="106"/>
      <c r="P8" s="107"/>
      <c r="Q8" s="87"/>
      <c r="R8" s="109">
        <v>135000</v>
      </c>
      <c r="S8" s="109"/>
      <c r="T8" s="109"/>
      <c r="U8" s="87"/>
      <c r="V8" s="105">
        <f>(J8*10^-6*R8*R12*N8^2*J12)/B8</f>
        <v>0.50980916715771885</v>
      </c>
      <c r="W8" s="106"/>
      <c r="X8" s="10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</row>
    <row r="9" spans="1:37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</row>
    <row r="10" spans="1:37" ht="15" customHeight="1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104" t="s">
        <v>41</v>
      </c>
      <c r="K10" s="104"/>
      <c r="L10" s="104"/>
      <c r="M10" s="87"/>
      <c r="N10" s="87"/>
      <c r="O10" s="87"/>
      <c r="P10" s="87"/>
      <c r="Q10" s="87"/>
      <c r="R10" s="104" t="s">
        <v>43</v>
      </c>
      <c r="S10" s="104"/>
      <c r="T10" s="104"/>
      <c r="U10" s="87"/>
      <c r="V10" s="104" t="s">
        <v>47</v>
      </c>
      <c r="W10" s="104"/>
      <c r="X10" s="104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</row>
    <row r="11" spans="1:37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104"/>
      <c r="K11" s="104"/>
      <c r="L11" s="104"/>
      <c r="M11" s="87"/>
      <c r="N11" s="87"/>
      <c r="O11" s="87"/>
      <c r="P11" s="87"/>
      <c r="Q11" s="87"/>
      <c r="R11" s="104"/>
      <c r="S11" s="104"/>
      <c r="T11" s="104"/>
      <c r="U11" s="87"/>
      <c r="V11" s="104"/>
      <c r="W11" s="104"/>
      <c r="X11" s="104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</row>
    <row r="12" spans="1:37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109">
        <v>40</v>
      </c>
      <c r="K12" s="109"/>
      <c r="L12" s="109"/>
      <c r="M12" s="87"/>
      <c r="N12" s="87"/>
      <c r="O12" s="87"/>
      <c r="P12" s="87"/>
      <c r="Q12" s="87"/>
      <c r="R12" s="109">
        <v>30</v>
      </c>
      <c r="S12" s="109"/>
      <c r="T12" s="109"/>
      <c r="U12" s="87"/>
      <c r="V12" s="117">
        <f>V8/0.00980665</f>
        <v>51.986067327550067</v>
      </c>
      <c r="W12" s="117"/>
      <c r="X12" s="11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</row>
    <row r="13" spans="1:37" x14ac:dyDescent="0.2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</row>
    <row r="14" spans="1:37" ht="15" customHeight="1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</row>
    <row r="15" spans="1:37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</row>
    <row r="17" spans="1:37" x14ac:dyDescent="0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</row>
    <row r="18" spans="1:37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</row>
    <row r="19" spans="1:37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</row>
    <row r="20" spans="1:37" x14ac:dyDescent="0.2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</row>
    <row r="21" spans="1:37" x14ac:dyDescent="0.2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</row>
    <row r="22" spans="1:37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</row>
    <row r="23" spans="1:37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</row>
    <row r="24" spans="1:37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</row>
    <row r="25" spans="1:37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</row>
    <row r="26" spans="1:37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</row>
    <row r="27" spans="1:37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</row>
    <row r="28" spans="1:37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</row>
    <row r="29" spans="1:37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</row>
    <row r="30" spans="1:37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</row>
    <row r="31" spans="1:37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</row>
    <row r="32" spans="1:37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</row>
    <row r="33" spans="1:37" x14ac:dyDescent="0.2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</row>
    <row r="34" spans="1:37" x14ac:dyDescent="0.2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</row>
    <row r="35" spans="1:37" x14ac:dyDescent="0.2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</row>
    <row r="36" spans="1:37" x14ac:dyDescent="0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</row>
    <row r="37" spans="1:37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</row>
    <row r="38" spans="1:37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</row>
    <row r="39" spans="1:37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</row>
    <row r="40" spans="1:37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</row>
    <row r="41" spans="1:37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</row>
    <row r="42" spans="1:37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</row>
    <row r="43" spans="1:37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</row>
    <row r="44" spans="1:37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</row>
    <row r="45" spans="1:37" x14ac:dyDescent="0.2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</row>
    <row r="46" spans="1:37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</row>
    <row r="47" spans="1:37" x14ac:dyDescent="0.2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</row>
    <row r="48" spans="1:37" x14ac:dyDescent="0.2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</row>
    <row r="49" spans="1:37" x14ac:dyDescent="0.2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</row>
    <row r="50" spans="1:37" x14ac:dyDescent="0.2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</row>
    <row r="51" spans="1:37" x14ac:dyDescent="0.2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</row>
    <row r="52" spans="1:37" x14ac:dyDescent="0.25">
      <c r="A52" s="87"/>
      <c r="B52" s="87"/>
      <c r="C52" s="87"/>
      <c r="D52" s="87"/>
      <c r="E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</row>
    <row r="53" spans="1:37" x14ac:dyDescent="0.25">
      <c r="A53" s="87"/>
      <c r="B53" s="87"/>
      <c r="C53" s="87"/>
      <c r="D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</row>
    <row r="54" spans="1:37" x14ac:dyDescent="0.25">
      <c r="A54" s="87"/>
      <c r="B54" s="87"/>
      <c r="C54" s="87"/>
      <c r="D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</row>
    <row r="55" spans="1:37" x14ac:dyDescent="0.25">
      <c r="A55" s="87"/>
      <c r="B55" s="87"/>
      <c r="C55" s="87"/>
      <c r="D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</row>
  </sheetData>
  <mergeCells count="25">
    <mergeCell ref="A1:F1"/>
    <mergeCell ref="B4:D4"/>
    <mergeCell ref="F4:H4"/>
    <mergeCell ref="J4:L4"/>
    <mergeCell ref="N4:P4"/>
    <mergeCell ref="V4:X4"/>
    <mergeCell ref="B6:D7"/>
    <mergeCell ref="J6:L7"/>
    <mergeCell ref="N6:P7"/>
    <mergeCell ref="R6:T7"/>
    <mergeCell ref="V6:X7"/>
    <mergeCell ref="R4:T4"/>
    <mergeCell ref="F6:H7"/>
    <mergeCell ref="J12:L12"/>
    <mergeCell ref="R12:T12"/>
    <mergeCell ref="V12:X12"/>
    <mergeCell ref="B8:D8"/>
    <mergeCell ref="J8:L8"/>
    <mergeCell ref="N8:P8"/>
    <mergeCell ref="R8:T8"/>
    <mergeCell ref="V8:X8"/>
    <mergeCell ref="J10:L11"/>
    <mergeCell ref="R10:T11"/>
    <mergeCell ref="V10:X11"/>
    <mergeCell ref="F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Inside hinges</vt:lpstr>
      <vt:lpstr>Calculator "app"</vt:lpstr>
      <vt:lpstr>Stupid maths</vt:lpstr>
      <vt:lpstr>Corner hinges</vt:lpstr>
      <vt:lpstr>Calculator "app"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Leung</dc:creator>
  <cp:lastModifiedBy>Jeremy Leung</cp:lastModifiedBy>
  <dcterms:created xsi:type="dcterms:W3CDTF">2013-09-12T05:44:18Z</dcterms:created>
  <dcterms:modified xsi:type="dcterms:W3CDTF">2013-09-24T00:02:11Z</dcterms:modified>
</cp:coreProperties>
</file>